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015" activeTab="0"/>
  </bookViews>
  <sheets>
    <sheet name="Restricted List" sheetId="1" r:id="rId1"/>
    <sheet name="preservatives" sheetId="2" r:id="rId2"/>
  </sheets>
  <definedNames/>
  <calcPr fullCalcOnLoad="1"/>
</workbook>
</file>

<file path=xl/sharedStrings.xml><?xml version="1.0" encoding="utf-8"?>
<sst xmlns="http://schemas.openxmlformats.org/spreadsheetml/2006/main" count="329" uniqueCount="197">
  <si>
    <t xml:space="preserve">Sodium Benzoate </t>
  </si>
  <si>
    <t>ชื่อวัตถุกันเสีย</t>
  </si>
  <si>
    <t>%สารที่คำนวณได้</t>
  </si>
  <si>
    <t>Potassium Benzoate</t>
  </si>
  <si>
    <t>Calcium Benzoate</t>
  </si>
  <si>
    <t>Sodium Propionate</t>
  </si>
  <si>
    <t>Sodium Salicylate</t>
  </si>
  <si>
    <t>Sodium Sorbate</t>
  </si>
  <si>
    <t>Potassium Sorbate</t>
  </si>
  <si>
    <t>Calcium Sorbate</t>
  </si>
  <si>
    <t>Sodium o-Phenylphenate</t>
  </si>
  <si>
    <t>ปริมาณที่ใส่ในสูตร(%)</t>
  </si>
  <si>
    <t>Ammonium Bisulfite</t>
  </si>
  <si>
    <t>Ammonium Sulfite</t>
  </si>
  <si>
    <t>ปริมาณสูงสุดที่ให้ใช้ได้(%)</t>
  </si>
  <si>
    <t>Calcium Paraben</t>
  </si>
  <si>
    <t>Sodium Paraben</t>
  </si>
  <si>
    <t>Potassium Paraben</t>
  </si>
  <si>
    <t>Methylparaben</t>
  </si>
  <si>
    <t>Isopropylparaben</t>
  </si>
  <si>
    <t>Isobutylparaben</t>
  </si>
  <si>
    <t>Ethylparaben</t>
  </si>
  <si>
    <t>0.4(เมื่อใช้esterชนิดเดียว),0.8(เมื่อใช้esterหลายชนิด)</t>
  </si>
  <si>
    <t>Sodium Dehydroacetate</t>
  </si>
  <si>
    <t>Sodium Formate</t>
  </si>
  <si>
    <t>Potassium Formate</t>
  </si>
  <si>
    <t>Thimerosal</t>
  </si>
  <si>
    <t>Phenyl Mercuric Benzoate</t>
  </si>
  <si>
    <t>Phenyl Mercuric Borate</t>
  </si>
  <si>
    <t>Phenyl Mercuric Acetate</t>
  </si>
  <si>
    <t>Phenyl Mercuric Chloride</t>
  </si>
  <si>
    <t>Phenyl Mercuric Bomide</t>
  </si>
  <si>
    <t>Calcium Undecylenate</t>
  </si>
  <si>
    <t>Sodium Undecylenate</t>
  </si>
  <si>
    <t>Chlorhexidine Diacetate</t>
  </si>
  <si>
    <t>Chlorhexidine Digluconate</t>
  </si>
  <si>
    <t>Chlorhexidine Dihydrochloride</t>
  </si>
  <si>
    <t>Benzalkonium Bromide</t>
  </si>
  <si>
    <t>Stearalkonium Chloride</t>
  </si>
  <si>
    <t>Sodium Methylparaben</t>
  </si>
  <si>
    <t>ชื่อสารที่กำหนดเงื่อนไขและปริมาณการใช้</t>
  </si>
  <si>
    <t>Sodium Borate</t>
  </si>
  <si>
    <t>MEA Borate</t>
  </si>
  <si>
    <t>MIPA Borate</t>
  </si>
  <si>
    <t>Potassium Tetraborate</t>
  </si>
  <si>
    <t>Potassium Thioglycolate</t>
  </si>
  <si>
    <t>Ammonium Thioglycolate</t>
  </si>
  <si>
    <t>Butyl Thioglycolate</t>
  </si>
  <si>
    <t>Calcium Thioglycolate</t>
  </si>
  <si>
    <t>Sodium Thioglycolate</t>
  </si>
  <si>
    <t>Ethanolamine Thioglycolate</t>
  </si>
  <si>
    <t>Ethyl Thioglycolate</t>
  </si>
  <si>
    <t>Glyceryl Thioglycolate</t>
  </si>
  <si>
    <t>Methyl Thioglycolate</t>
  </si>
  <si>
    <t>Ammonium Hydroxide</t>
  </si>
  <si>
    <t>p-Phenylenediamine Sulfate</t>
  </si>
  <si>
    <t>p-Phenylenediamine Hydrochloride</t>
  </si>
  <si>
    <t>N-Phenyl-p-Phenylenediamine</t>
  </si>
  <si>
    <t>N-Phenyl-p-Phenylenediamine Sulfate</t>
  </si>
  <si>
    <t>N-Phenyl-p-Phenylenediamine Hydrochloride</t>
  </si>
  <si>
    <t>N,N-Bis(2-Hydroxyethyl)-p-Phenylenediamine Sulfate</t>
  </si>
  <si>
    <t>Zinc Peroxide</t>
  </si>
  <si>
    <t>Zinc Borate (คำนวณเป็นBoric acid)</t>
  </si>
  <si>
    <t>Zinc Borate (คำนวณเป็นZinc)</t>
  </si>
  <si>
    <t>Zinc PCA</t>
  </si>
  <si>
    <t>Zinc Gluconate</t>
  </si>
  <si>
    <t>Zinc Acetate</t>
  </si>
  <si>
    <t>Ammonium Monofluorophosphate</t>
  </si>
  <si>
    <t>0.11% คำนวณในรูป fluoride (หากใช้สารประกอบของฟลูออไรด์หลายชนิดร่วมกัน ปริมาณของ fluoride รวมทั้งหมดต้องไม่เกิน 0.11%)</t>
  </si>
  <si>
    <t>Sodium Monofluorophosphate</t>
  </si>
  <si>
    <t>Potassium Monofluorophosphate</t>
  </si>
  <si>
    <t>Calcium Monofluorophosphate</t>
  </si>
  <si>
    <t>Calcium Fluoride</t>
  </si>
  <si>
    <t>Sodium Fluoride</t>
  </si>
  <si>
    <t>Potasium Fluoride</t>
  </si>
  <si>
    <t>Ammonium Fluoride</t>
  </si>
  <si>
    <t>Aluminium Fluoride</t>
  </si>
  <si>
    <t>Stannous Fluoride</t>
  </si>
  <si>
    <t>Sodium Hexafluorosilicate</t>
  </si>
  <si>
    <t>Potassium Hexafluorosilicate</t>
  </si>
  <si>
    <t>Ammonium Hexafluorosilicate</t>
  </si>
  <si>
    <t>Disodium Etidronate</t>
  </si>
  <si>
    <t>Tetrasodium Etidronate</t>
  </si>
  <si>
    <t>Tetrapotassium Etidronate</t>
  </si>
  <si>
    <t>Magnesium Fluoride</t>
  </si>
  <si>
    <t>Strontium Chloride Hexahydrate</t>
  </si>
  <si>
    <t>Sodium Bisulfite</t>
  </si>
  <si>
    <t>Sodium Sulfite</t>
  </si>
  <si>
    <t>Sodium Metabisulfite</t>
  </si>
  <si>
    <t>Sodium Perborate (คำนวณเป็น Boric Acid)</t>
  </si>
  <si>
    <t>Sodium Perborate (คำนวณเป็น Hydrogen peroxide)</t>
  </si>
  <si>
    <t>Strontium Hydroxide</t>
  </si>
  <si>
    <t>Strontium Peroxide (คำนวณในรูปStrontium)</t>
  </si>
  <si>
    <t>Strontium Peroxide (คำนวณเป็น Hydrogen peroxide)</t>
  </si>
  <si>
    <t>Ammonium Persulfate</t>
  </si>
  <si>
    <t>Zinc Chloride</t>
  </si>
  <si>
    <t>Potasium Persulfate</t>
  </si>
  <si>
    <t>Sodium Persulfate</t>
  </si>
  <si>
    <t>Lead Acetate</t>
  </si>
  <si>
    <t>Ammonium Thiolactate</t>
  </si>
  <si>
    <t>Sodium Thiolactate</t>
  </si>
  <si>
    <t>Potassium Thiolactate</t>
  </si>
  <si>
    <t>0.6% (ผลิตภัณฑ์แต่งผมดำ)</t>
  </si>
  <si>
    <t>Methyl Benzoate</t>
  </si>
  <si>
    <t>Zinc Citrate</t>
  </si>
  <si>
    <t>Zinc Aspartate</t>
  </si>
  <si>
    <t>Zinc Glycinate</t>
  </si>
  <si>
    <t>Zinc Sulfate</t>
  </si>
  <si>
    <t>Lead Acetate Trihydrate</t>
  </si>
  <si>
    <t>Oxyquinoline Sulfate</t>
  </si>
  <si>
    <t>TEA-Salicylate</t>
  </si>
  <si>
    <t>Zinc Lactate</t>
  </si>
  <si>
    <t>Ammonium Benzoate</t>
  </si>
  <si>
    <t>Magnesium Salicylate</t>
  </si>
  <si>
    <t>Sodium Hydrogen Peroxide (คำนวณเป็น Hydrogen peroxide)</t>
  </si>
  <si>
    <t>Sodium Ethylparaben</t>
  </si>
  <si>
    <t>Potassium Metabisulfie</t>
  </si>
  <si>
    <t>Potassium Metabisulfite</t>
  </si>
  <si>
    <t>Magnesium Benzoate</t>
  </si>
  <si>
    <t>strontium chloride</t>
  </si>
  <si>
    <t>TOTAL</t>
  </si>
  <si>
    <t>phenylparaben</t>
  </si>
  <si>
    <t>benzylparaben</t>
  </si>
  <si>
    <t>pentylparaben</t>
  </si>
  <si>
    <t>ห้ามใช้</t>
  </si>
  <si>
    <t>TOTAL 0.8</t>
  </si>
  <si>
    <t xml:space="preserve">Butylparaben </t>
  </si>
  <si>
    <t xml:space="preserve">TOTAL 0.14   </t>
  </si>
  <si>
    <t xml:space="preserve">Propylparaben </t>
  </si>
  <si>
    <t xml:space="preserve">Potassium PropylParaben </t>
  </si>
  <si>
    <t xml:space="preserve">Sodium Butylparaben </t>
  </si>
  <si>
    <t xml:space="preserve">Sodium Propylparaben </t>
  </si>
  <si>
    <t xml:space="preserve">TOTAL 0.14 </t>
  </si>
  <si>
    <t xml:space="preserve">Potassium Butylparaben </t>
  </si>
  <si>
    <t>หาร อัตราส่วนที่ใช้ผสม</t>
  </si>
  <si>
    <t>% สารที่คำนวณได้</t>
  </si>
  <si>
    <t>5%(ผลิตภัณฑ์ประเภทแป้ง), 0.1% (ผลิตภัณฑ์เพื่อสุขอนามัย), ผลิตภัณฑ์สำหรับอาบน้ำ18%,  ผลิตภัณฑ์สำหรับเส้นผม คิ้ว หนวด เครา ยกเว้นขนตา 8%, ผลิตภัณฑ์อื่นๆ 3% (ห้ามใช้กับผลิตภัณฑ์สำหรับเด็กอายุต่ำกว่า 3 ปี)</t>
  </si>
  <si>
    <t>12%(ผลิตภัณฑ์สำหรับเส้นผม คิ้ว หนวด เครา ยกเว้นขนตา), 4%(ผลิตภัณฑ์สำหรับผิวหนัง), 2%(ผลิตภัณฑ์สำหรับเล็บ), 0.1%(ผลิตภัณฑ์ที่ใช้ในช่องปาก), 6%(ผลิตภัณฑ์ฟอกสีฟัน สำหรับทันตแพทย์)</t>
  </si>
  <si>
    <t>8.5% (ผลิตภัณฑ์สำหรับดัดผมหรือยืดผม) pH&lt;9.5, 5%(ผลิตภัณฑ์กำจัดขน), 2%(ผลิตภัณฑ์สำหรับเส้นผม คิ้ว หนวดเครา ยกเว้น ขนตา และประเภทอื่น ๆ ที่ใช้แล้วล้างออก)</t>
  </si>
  <si>
    <t>0.6 (ห้ามใช้ในผลิตภัณฑ์ประเภทฉีดพ่น (aerosol dispensers (sprays))</t>
  </si>
  <si>
    <r>
      <t xml:space="preserve">0.007 ในกรณีที่ต้องใช้ร่วมกับสารประกอบของปรอท อัตราส่วนสูงสุดโดยรวมของปรอทต้องไม่เกิน 0.007 (ให้ใช้ได้เฉพาะในผลิตภัณฑ์ที่ใช้บริเวณรอบดวงตา) </t>
    </r>
    <r>
      <rPr>
        <sz val="12"/>
        <color indexed="60"/>
        <rFont val="Calibri"/>
        <family val="2"/>
      </rPr>
      <t>(กันเสียลำดับที่ 14)</t>
    </r>
  </si>
  <si>
    <r>
      <t xml:space="preserve">0.007 ในกรณีที่ต้องใช้ร่วมกับสารประกอบของปรอท อัตราส่วนสูงสุดโดยรวมของปรอทต้องไม่เกิน 0.007 (ให้ใช้ได้เฉพาะในผลิตภัณฑ์ที่ใช้บริเวณรอบดวงตา) </t>
    </r>
    <r>
      <rPr>
        <sz val="12"/>
        <color indexed="60"/>
        <rFont val="Calibri"/>
        <family val="2"/>
      </rPr>
      <t>(กันเสียลำดับที่ 15)</t>
    </r>
  </si>
  <si>
    <t>0.3 ห้ามใช้ในผลิตภัณฑ์ที่ใช้ในช่องปาก (กันเสียลำดับที่ 39)</t>
  </si>
  <si>
    <t>0.6 (กันเสียลำดับที่ 4)</t>
  </si>
  <si>
    <t>0.5(ห้ามใช้กับเด็กอายุต่ำกว่า 3 ปี ยกเว้นแชมพู) (กันเสียลำดับที่ 3)</t>
  </si>
  <si>
    <t>2 (กันเสียลำดับที่ 2)</t>
  </si>
  <si>
    <t>0.5(ใช้แล้วไม่ล้างออก),1.7(ผลิตภัณฑ์ในช่องปาก),2.5(ใช้แล้วล้างออก) (กันเสียลำดับที่ 1)</t>
  </si>
  <si>
    <t>0.5 (กันเสียลำดับที่ 1a)</t>
  </si>
  <si>
    <t>Calcium Peroxide</t>
  </si>
  <si>
    <t>Urea Peroxide</t>
  </si>
  <si>
    <t>2,6-Dihydroxyethylaminotoluene</t>
  </si>
  <si>
    <t>Sodium Carbonate Peroxide</t>
  </si>
  <si>
    <t>Potassium Sulfide</t>
  </si>
  <si>
    <t>Sodium Sulfide</t>
  </si>
  <si>
    <t>Lithium Sulfide</t>
  </si>
  <si>
    <t>Barium Sulfide</t>
  </si>
  <si>
    <t>Calcium Sulfide</t>
  </si>
  <si>
    <t>Magnesium Sulfide</t>
  </si>
  <si>
    <t>Strontium Sulfide</t>
  </si>
  <si>
    <t>6-Methoxy-2-Methylamino-3-Aminopyridine HCl</t>
  </si>
  <si>
    <t>MEA-Benzoate</t>
  </si>
  <si>
    <t>MEA O-Phenylphenate</t>
  </si>
  <si>
    <t>0.14(เมื่อใช้esterในกลุ่มสาร 11และ11.1),0.8(เมื่อใช้esterหลายชนิด)</t>
  </si>
  <si>
    <t>Ammonium Propionate</t>
  </si>
  <si>
    <t>Calcium Propionate</t>
  </si>
  <si>
    <t>Biphenyl-2-ol(o-Phenylphenol)</t>
  </si>
  <si>
    <t>Toluene-2,5-Diamine Sulfate</t>
  </si>
  <si>
    <t>Strontium Acetate (Strontium Acetate Hemihydrate)</t>
  </si>
  <si>
    <t>Potassium Chlorate</t>
  </si>
  <si>
    <r>
      <t xml:space="preserve">11%(ผลิตภัณฑ์สำหรับดัดผมหรือยืดผม) pH7-9.5, 5%(ผลิตภัณฑ์กำจัดขน) pH7-12.7, 2%(ผลิตภัณฑ์สำหรับเส้นผม คิ้ว หนวด เครา) pHไม่เกิน 9.5 </t>
    </r>
    <r>
      <rPr>
        <sz val="18"/>
        <color indexed="60"/>
        <rFont val="Browallia New"/>
        <family val="2"/>
      </rPr>
      <t>(อาจใช้ ลำดับที่2a)</t>
    </r>
  </si>
  <si>
    <r>
      <t xml:space="preserve">11% (ผลิตภัณฑ์สำหรับดัดผมหรือยืดผม) pH6-9.5 </t>
    </r>
    <r>
      <rPr>
        <sz val="18"/>
        <color indexed="60"/>
        <rFont val="Browallia New"/>
        <family val="2"/>
      </rPr>
      <t>(อาจใช้ ลำดับที่2b)</t>
    </r>
  </si>
  <si>
    <r>
      <t xml:space="preserve">2% (คำนวนในรูป free base หลังผสม) </t>
    </r>
    <r>
      <rPr>
        <sz val="18"/>
        <color indexed="60"/>
        <rFont val="Browallia New"/>
        <family val="2"/>
      </rPr>
      <t>(อาจใช้ ลำดับที่ 7a)</t>
    </r>
  </si>
  <si>
    <r>
      <t xml:space="preserve">3%(ใช้เดี่ยวหรือผสมรวมกันต้องไม่เกิน 2%) </t>
    </r>
    <r>
      <rPr>
        <sz val="18"/>
        <color indexed="60"/>
        <rFont val="Browallia New"/>
        <family val="2"/>
      </rPr>
      <t>(อาจใช้ ลำดับที่ 7)</t>
    </r>
  </si>
  <si>
    <r>
      <t xml:space="preserve">2.5% (หารอัตราส่วนหลังผสมอย่างเดียว เพราะประกาศระบุว่า"คำนวณในรูป sulfate") </t>
    </r>
    <r>
      <rPr>
        <sz val="18"/>
        <color indexed="60"/>
        <rFont val="Browallia New"/>
        <family val="2"/>
      </rPr>
      <t>(อาจใช้ ลำดับที่125)</t>
    </r>
  </si>
  <si>
    <r>
      <t>5% (ผลิตภัณฑ์สำหรับย้อมผมประเภท Oxidative hair dye)</t>
    </r>
    <r>
      <rPr>
        <sz val="18"/>
        <color indexed="60"/>
        <rFont val="Browallia New"/>
        <family val="2"/>
      </rPr>
      <t xml:space="preserve"> (อาจใช้ลำดับที่ 8)</t>
    </r>
  </si>
  <si>
    <r>
      <t>4% (คำนวนในรูป free base หลังผสม)</t>
    </r>
    <r>
      <rPr>
        <sz val="18"/>
        <color indexed="60"/>
        <rFont val="Browallia New"/>
        <family val="2"/>
      </rPr>
      <t xml:space="preserve"> (อาจใช้ ลำดับที่ 8a)</t>
    </r>
  </si>
  <si>
    <r>
      <t xml:space="preserve">2% (ผลิตภัณฑ์กำจัดขน) pH ≤ 12.7  </t>
    </r>
    <r>
      <rPr>
        <sz val="18"/>
        <color indexed="60"/>
        <rFont val="Browallia New"/>
        <family val="2"/>
      </rPr>
      <t>(อาจใช้ ลำดับที่ 19)</t>
    </r>
  </si>
  <si>
    <r>
      <t xml:space="preserve">6% (ผลิตภัณฑ์กำจัดขน) pH ≤ 12.7  </t>
    </r>
    <r>
      <rPr>
        <sz val="18"/>
        <color indexed="60"/>
        <rFont val="Browallia New"/>
        <family val="2"/>
      </rPr>
      <t>(อาจใช้ ลำดับที่ 20)</t>
    </r>
  </si>
  <si>
    <r>
      <t xml:space="preserve">1% </t>
    </r>
    <r>
      <rPr>
        <sz val="18"/>
        <color indexed="60"/>
        <rFont val="Browallia New"/>
        <family val="2"/>
      </rPr>
      <t>(อาจใช้ ลำดับที่ 21)</t>
    </r>
  </si>
  <si>
    <r>
      <t xml:space="preserve">1.5%(ผลิตภัณฑ์สำหรับเส้นผม คิ้ว หนวด เครา ยกเว้นขนตา), 0.2%(สบู่) </t>
    </r>
    <r>
      <rPr>
        <sz val="18"/>
        <color indexed="60"/>
        <rFont val="Browallia New"/>
        <family val="2"/>
      </rPr>
      <t>(อาจใช้ ลำดับที่ 50)</t>
    </r>
  </si>
  <si>
    <r>
      <t xml:space="preserve">3.5%(ผลิตภัณฑ์ที่ใช้ในช่องปาก),2.1%(แชมพูและผลิตภัณฑ์สำหรับผิวหน้า) </t>
    </r>
    <r>
      <rPr>
        <sz val="18"/>
        <color indexed="60"/>
        <rFont val="Browallia New"/>
        <family val="2"/>
      </rPr>
      <t>(อาจใช้ลำดับที่ 53)</t>
    </r>
  </si>
  <si>
    <r>
      <t xml:space="preserve">3.5%(ผลิตภัณฑ์ที่ใช้ในช่องปาก) </t>
    </r>
    <r>
      <rPr>
        <sz val="18"/>
        <color indexed="60"/>
        <rFont val="Browallia New"/>
        <family val="2"/>
      </rPr>
      <t>(อาจใช้ลำดับที่ 54)</t>
    </r>
  </si>
  <si>
    <r>
      <t xml:space="preserve">3.5% ปรับpH ในผลิตภัณฑ์กำจัดขน pH ≤ 12.7 </t>
    </r>
    <r>
      <rPr>
        <sz val="18"/>
        <color indexed="60"/>
        <rFont val="Browallia New"/>
        <family val="2"/>
      </rPr>
      <t>(อาจใช้ลำดับที่ 59)</t>
    </r>
  </si>
  <si>
    <r>
      <t xml:space="preserve">4.5% หลังผสมคำนวณในรูป strontium (ผลิตภัณฑ์สำหรับเส้นผม คิ้ว หนวด เครา ยกเว้นขนตา ที่ใช้แล้วล้างออก) และ Hydrogen Peroxide ที่ถูกปลดปล่อยต้องไม่เกิน 12% </t>
    </r>
    <r>
      <rPr>
        <sz val="18"/>
        <color indexed="60"/>
        <rFont val="Browallia New"/>
        <family val="2"/>
      </rPr>
      <t>(อาจใช้ลำดับที่ 60)</t>
    </r>
  </si>
  <si>
    <r>
      <t xml:space="preserve">3% (ผลิตภัณฑ์สำหรับเส้นผม คิ้ว หนวด เครา ยกเว้นขนตา ที่ใช้แล้วล้างออก), 0.1%(ผลิตภัณฑ์ประเภทอื่นๆ) และต้องแสดงวัตถุประสงค์ของการใช้สารนี้ประกอบการจดแจ้ง </t>
    </r>
    <r>
      <rPr>
        <sz val="18"/>
        <color indexed="60"/>
        <rFont val="Browallia New"/>
        <family val="2"/>
      </rPr>
      <t>(อาจใช้ ลำดับที่ 61)</t>
    </r>
  </si>
  <si>
    <r>
      <t>0.67%(ผลิตภัณฑ์สำหรับย้อมผมประเภท oxidative hair dye), 6.7%(ผลิตภัณฑ์สำหรับดัดผมหรือยืดผม), 0.45%(ผลิตภัณฑ์ทำให้ผิวหน้าเป็นสีแทน), 0.4%(ผลิตภัณฑ์ทำให้ผิวกายเป็นสีแทน)</t>
    </r>
    <r>
      <rPr>
        <sz val="18"/>
        <color indexed="60"/>
        <rFont val="Browallia New"/>
        <family val="2"/>
      </rPr>
      <t xml:space="preserve"> (อาจใช้ลำดับที่ 69)</t>
    </r>
  </si>
  <si>
    <r>
      <t xml:space="preserve"> ผลิตภัณฑ์ฟอกสีผม 45% ของอนุมูล persulfate ก่อนผสมกับไฮโดรเจนเพอร์ออกไซด์, เมื่อคำนวณในรูป persulfate ไม่ว่าจะใช้เพียงสารเดียวหรือใช้ผสมรวมกัน ต้องไม่เกิน 20% หลังผสมกับ hydrogen peroxide </t>
    </r>
    <r>
      <rPr>
        <sz val="18"/>
        <color indexed="60"/>
        <rFont val="Browallia New"/>
        <family val="2"/>
      </rPr>
      <t>(อาจใช้ลำดับที่ 74)</t>
    </r>
  </si>
  <si>
    <r>
      <t xml:space="preserve">8.5% (ผลิตภัณฑ์สำหรับดัดผมหรือยืดผม) pH&lt;9.5, 5%(ผลิตภัณฑ์กำจัดขน), 2%(ผลิตภัณฑ์สำหรับเส้นผม คิ้ว หนวดเครา ยกเว้น ขนตา และประเภทอื่น ๆ ที่ใช้แล้วล้างออก) </t>
    </r>
    <r>
      <rPr>
        <sz val="18"/>
        <color indexed="60"/>
        <rFont val="Browallia New"/>
        <family val="2"/>
      </rPr>
      <t>(อาจใช้ลำดับที่ 76)</t>
    </r>
  </si>
  <si>
    <r>
      <t xml:space="preserve">0.3% ช่วยเพิ่มความคงตัวของ hydrogen peroxide ในผลิตภัณฑ์สำหรับเส้นผม คิ้ว หนวด เครา ยกเว้น ขนตา (ชนิดใช้แล้วล้างออก), 0.03% ช่วยเพิ่มความคงตัวของ hydrogen peroxide ในผลิตภัณฑ์สำหรับเส้นผม คิ้ว หนวด เครา ยกเว้น ขนตา (ชนิดใช้แล้วไม่ต้องล้างออก) </t>
    </r>
    <r>
      <rPr>
        <sz val="18"/>
        <color indexed="60"/>
        <rFont val="Browallia New"/>
        <family val="2"/>
      </rPr>
      <t>(อาจใช้ลำดับที่ 48)</t>
    </r>
  </si>
  <si>
    <r>
      <t xml:space="preserve">5%(ยาสีฟัน), 3%(ผลิตภัณฑ์ประเภทอื่น) </t>
    </r>
    <r>
      <rPr>
        <sz val="18"/>
        <color indexed="60"/>
        <rFont val="Browallia New"/>
        <family val="2"/>
      </rPr>
      <t>(อาจใช้ลำดับที่ 6)</t>
    </r>
  </si>
  <si>
    <r>
      <t xml:space="preserve">0.68% หลังผสมคำนวณในรูป Free base </t>
    </r>
    <r>
      <rPr>
        <sz val="18"/>
        <color indexed="60"/>
        <rFont val="Browallia New"/>
        <family val="2"/>
      </rPr>
      <t>(อาจใช้ลำดับที่ 95)</t>
    </r>
  </si>
  <si>
    <r>
      <t xml:space="preserve">0.2 </t>
    </r>
    <r>
      <rPr>
        <sz val="18"/>
        <color indexed="60"/>
        <rFont val="Browallia New"/>
        <family val="2"/>
      </rPr>
      <t>(กันเสียลำดับที่ 6)</t>
    </r>
  </si>
  <si>
    <r>
      <t>0.2</t>
    </r>
    <r>
      <rPr>
        <sz val="18"/>
        <color indexed="60"/>
        <rFont val="Browallia New"/>
        <family val="2"/>
      </rPr>
      <t xml:space="preserve"> (กันเสียลำดับที่ 6)</t>
    </r>
  </si>
  <si>
    <r>
      <t xml:space="preserve">0.2 </t>
    </r>
    <r>
      <rPr>
        <sz val="18"/>
        <color indexed="60"/>
        <rFont val="Browallia New"/>
        <family val="2"/>
      </rPr>
      <t>(กันเสียลำดับที่ 8)</t>
    </r>
  </si>
  <si>
    <r>
      <t xml:space="preserve">0.2 </t>
    </r>
    <r>
      <rPr>
        <sz val="18"/>
        <color indexed="60"/>
        <rFont val="Browallia New"/>
        <family val="2"/>
      </rPr>
      <t>(กันเสียลำดับที่ 16)</t>
    </r>
  </si>
  <si>
    <r>
      <t xml:space="preserve">0.1 </t>
    </r>
    <r>
      <rPr>
        <sz val="18"/>
        <color indexed="60"/>
        <rFont val="Browallia New"/>
        <family val="2"/>
      </rPr>
      <t>(กันเสียลำดับที่ 51)</t>
    </r>
  </si>
  <si>
    <r>
      <t xml:space="preserve"> 2% คำนวณในรูปของกรด </t>
    </r>
    <r>
      <rPr>
        <sz val="18"/>
        <color indexed="60"/>
        <rFont val="Browallia New"/>
        <family val="2"/>
      </rPr>
      <t>(กันเสีย ลำดับที่ 2)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</si>
</sst>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20"/>
      <name val="Browallia New"/>
      <family val="2"/>
    </font>
    <font>
      <sz val="20"/>
      <color indexed="14"/>
      <name val="Browallia New"/>
      <family val="2"/>
    </font>
    <font>
      <sz val="20"/>
      <color indexed="11"/>
      <name val="Browallia New"/>
      <family val="2"/>
    </font>
    <font>
      <sz val="20"/>
      <color indexed="40"/>
      <name val="Browallia New"/>
      <family val="2"/>
    </font>
    <font>
      <sz val="20"/>
      <color indexed="51"/>
      <name val="Browallia New"/>
      <family val="2"/>
    </font>
    <font>
      <sz val="20"/>
      <color indexed="53"/>
      <name val="Browallia New"/>
      <family val="2"/>
    </font>
    <font>
      <sz val="20"/>
      <color indexed="10"/>
      <name val="Browallia New"/>
      <family val="2"/>
    </font>
    <font>
      <sz val="20"/>
      <color indexed="49"/>
      <name val="Browallia New"/>
      <family val="2"/>
    </font>
    <font>
      <sz val="20"/>
      <color indexed="9"/>
      <name val="Browallia New"/>
      <family val="2"/>
    </font>
    <font>
      <sz val="20"/>
      <color indexed="36"/>
      <name val="Browallia New"/>
      <family val="2"/>
    </font>
    <font>
      <strike/>
      <sz val="20"/>
      <color indexed="51"/>
      <name val="Browallia New"/>
      <family val="2"/>
    </font>
    <font>
      <strike/>
      <sz val="20"/>
      <color indexed="40"/>
      <name val="Browallia New"/>
      <family val="2"/>
    </font>
    <font>
      <sz val="20"/>
      <color indexed="13"/>
      <name val="Browallia New"/>
      <family val="2"/>
    </font>
    <font>
      <strike/>
      <sz val="20"/>
      <color indexed="10"/>
      <name val="Browallia New"/>
      <family val="2"/>
    </font>
    <font>
      <sz val="20"/>
      <color indexed="56"/>
      <name val="Browallia New"/>
      <family val="2"/>
    </font>
    <font>
      <sz val="12"/>
      <name val="Calibri"/>
      <family val="2"/>
    </font>
    <font>
      <sz val="20"/>
      <color indexed="60"/>
      <name val="Browallia New"/>
      <family val="2"/>
    </font>
    <font>
      <sz val="12"/>
      <color indexed="60"/>
      <name val="Calibri"/>
      <family val="2"/>
    </font>
    <font>
      <sz val="20"/>
      <color indexed="8"/>
      <name val="Browallia New"/>
      <family val="2"/>
    </font>
    <font>
      <sz val="18"/>
      <name val="Browallia New"/>
      <family val="2"/>
    </font>
    <font>
      <sz val="18"/>
      <color indexed="60"/>
      <name val="Browallia New"/>
      <family val="2"/>
    </font>
    <font>
      <sz val="18"/>
      <color indexed="56"/>
      <name val="Browallia New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>
        <color indexed="10"/>
      </bottom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2" fillId="20" borderId="1" applyNumberFormat="0" applyAlignment="0" applyProtection="0"/>
    <xf numFmtId="0" fontId="43" fillId="0" borderId="2" applyNumberFormat="0" applyFill="0" applyAlignment="0" applyProtection="0"/>
    <xf numFmtId="9" fontId="0" fillId="0" borderId="0" applyFont="0" applyFill="0" applyBorder="0" applyAlignment="0" applyProtection="0"/>
    <xf numFmtId="0" fontId="44" fillId="21" borderId="0" applyNumberFormat="0" applyBorder="0" applyAlignment="0" applyProtection="0"/>
    <xf numFmtId="0" fontId="45" fillId="22" borderId="3" applyNumberFormat="0" applyAlignment="0" applyProtection="0"/>
    <xf numFmtId="0" fontId="46" fillId="22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51" fillId="24" borderId="4" applyNumberFormat="0" applyAlignment="0" applyProtection="0"/>
    <xf numFmtId="0" fontId="52" fillId="25" borderId="0" applyNumberFormat="0" applyBorder="0" applyAlignment="0" applyProtection="0"/>
    <xf numFmtId="0" fontId="53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0" fillId="32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shrinkToFit="1"/>
    </xf>
    <xf numFmtId="0" fontId="3" fillId="34" borderId="10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35" borderId="10" xfId="0" applyFont="1" applyFill="1" applyBorder="1" applyAlignment="1">
      <alignment vertical="center"/>
    </xf>
    <xf numFmtId="0" fontId="11" fillId="36" borderId="10" xfId="0" applyFont="1" applyFill="1" applyBorder="1" applyAlignment="1">
      <alignment vertical="center"/>
    </xf>
    <xf numFmtId="0" fontId="3" fillId="36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11" fillId="37" borderId="10" xfId="0" applyFont="1" applyFill="1" applyBorder="1" applyAlignment="1">
      <alignment vertical="center"/>
    </xf>
    <xf numFmtId="0" fontId="3" fillId="38" borderId="10" xfId="0" applyFont="1" applyFill="1" applyBorder="1" applyAlignment="1">
      <alignment vertical="center"/>
    </xf>
    <xf numFmtId="0" fontId="3" fillId="39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3" fillId="40" borderId="10" xfId="0" applyFont="1" applyFill="1" applyBorder="1" applyAlignment="1">
      <alignment vertical="center"/>
    </xf>
    <xf numFmtId="0" fontId="3" fillId="41" borderId="10" xfId="0" applyFont="1" applyFill="1" applyBorder="1" applyAlignment="1">
      <alignment vertical="center"/>
    </xf>
    <xf numFmtId="0" fontId="3" fillId="42" borderId="10" xfId="0" applyFont="1" applyFill="1" applyBorder="1" applyAlignment="1">
      <alignment vertical="center"/>
    </xf>
    <xf numFmtId="0" fontId="3" fillId="43" borderId="10" xfId="0" applyFont="1" applyFill="1" applyBorder="1" applyAlignment="1">
      <alignment vertical="center"/>
    </xf>
    <xf numFmtId="0" fontId="3" fillId="44" borderId="10" xfId="0" applyFont="1" applyFill="1" applyBorder="1" applyAlignment="1">
      <alignment vertical="center"/>
    </xf>
    <xf numFmtId="0" fontId="21" fillId="45" borderId="10" xfId="0" applyFont="1" applyFill="1" applyBorder="1" applyAlignment="1">
      <alignment vertical="center"/>
    </xf>
    <xf numFmtId="0" fontId="21" fillId="45" borderId="12" xfId="0" applyFont="1" applyFill="1" applyBorder="1" applyAlignment="1">
      <alignment vertical="center"/>
    </xf>
    <xf numFmtId="0" fontId="3" fillId="46" borderId="10" xfId="0" applyFont="1" applyFill="1" applyBorder="1" applyAlignment="1">
      <alignment vertical="center"/>
    </xf>
    <xf numFmtId="0" fontId="3" fillId="47" borderId="10" xfId="0" applyFont="1" applyFill="1" applyBorder="1" applyAlignment="1">
      <alignment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3" fillId="48" borderId="10" xfId="0" applyFont="1" applyFill="1" applyBorder="1" applyAlignment="1">
      <alignment/>
    </xf>
    <xf numFmtId="0" fontId="3" fillId="42" borderId="10" xfId="0" applyFont="1" applyFill="1" applyBorder="1" applyAlignment="1">
      <alignment/>
    </xf>
    <xf numFmtId="0" fontId="1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17" fillId="33" borderId="10" xfId="0" applyFont="1" applyFill="1" applyBorder="1" applyAlignment="1">
      <alignment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5" fillId="49" borderId="10" xfId="0" applyFont="1" applyFill="1" applyBorder="1" applyAlignment="1">
      <alignment/>
    </xf>
    <xf numFmtId="0" fontId="18" fillId="0" borderId="10" xfId="0" applyFont="1" applyBorder="1" applyAlignment="1">
      <alignment/>
    </xf>
    <xf numFmtId="0" fontId="3" fillId="36" borderId="10" xfId="0" applyFont="1" applyFill="1" applyBorder="1" applyAlignment="1">
      <alignment/>
    </xf>
    <xf numFmtId="0" fontId="3" fillId="50" borderId="10" xfId="0" applyFont="1" applyFill="1" applyBorder="1" applyAlignment="1">
      <alignment horizontal="left" vertical="center"/>
    </xf>
    <xf numFmtId="0" fontId="3" fillId="51" borderId="10" xfId="0" applyFont="1" applyFill="1" applyBorder="1" applyAlignment="1">
      <alignment horizontal="left"/>
    </xf>
    <xf numFmtId="0" fontId="3" fillId="41" borderId="10" xfId="0" applyFont="1" applyFill="1" applyBorder="1" applyAlignment="1">
      <alignment/>
    </xf>
    <xf numFmtId="0" fontId="11" fillId="44" borderId="10" xfId="0" applyFont="1" applyFill="1" applyBorder="1" applyAlignment="1">
      <alignment/>
    </xf>
    <xf numFmtId="0" fontId="9" fillId="45" borderId="10" xfId="0" applyFont="1" applyFill="1" applyBorder="1" applyAlignment="1">
      <alignment horizontal="center" vertical="center"/>
    </xf>
    <xf numFmtId="0" fontId="21" fillId="44" borderId="10" xfId="0" applyFont="1" applyFill="1" applyBorder="1" applyAlignment="1">
      <alignment/>
    </xf>
    <xf numFmtId="0" fontId="21" fillId="49" borderId="10" xfId="0" applyFont="1" applyFill="1" applyBorder="1" applyAlignment="1">
      <alignment/>
    </xf>
    <xf numFmtId="0" fontId="21" fillId="34" borderId="10" xfId="0" applyFont="1" applyFill="1" applyBorder="1" applyAlignment="1">
      <alignment vertical="center"/>
    </xf>
    <xf numFmtId="0" fontId="21" fillId="42" borderId="10" xfId="0" applyFont="1" applyFill="1" applyBorder="1" applyAlignment="1">
      <alignment vertical="center"/>
    </xf>
    <xf numFmtId="0" fontId="21" fillId="44" borderId="10" xfId="0" applyFont="1" applyFill="1" applyBorder="1" applyAlignment="1">
      <alignment vertical="center"/>
    </xf>
    <xf numFmtId="0" fontId="21" fillId="37" borderId="10" xfId="0" applyFont="1" applyFill="1" applyBorder="1" applyAlignment="1">
      <alignment vertical="center"/>
    </xf>
    <xf numFmtId="0" fontId="21" fillId="38" borderId="10" xfId="0" applyFont="1" applyFill="1" applyBorder="1" applyAlignment="1">
      <alignment vertical="center"/>
    </xf>
    <xf numFmtId="0" fontId="21" fillId="35" borderId="10" xfId="0" applyFont="1" applyFill="1" applyBorder="1" applyAlignment="1">
      <alignment vertical="center"/>
    </xf>
    <xf numFmtId="0" fontId="21" fillId="39" borderId="10" xfId="0" applyFont="1" applyFill="1" applyBorder="1" applyAlignment="1">
      <alignment vertical="center"/>
    </xf>
    <xf numFmtId="0" fontId="21" fillId="47" borderId="10" xfId="0" applyFont="1" applyFill="1" applyBorder="1" applyAlignment="1">
      <alignment vertical="center"/>
    </xf>
    <xf numFmtId="9" fontId="22" fillId="0" borderId="10" xfId="0" applyNumberFormat="1" applyFont="1" applyBorder="1" applyAlignment="1">
      <alignment vertical="center"/>
    </xf>
    <xf numFmtId="9" fontId="22" fillId="0" borderId="12" xfId="0" applyNumberFormat="1" applyFont="1" applyBorder="1" applyAlignment="1">
      <alignment vertical="center"/>
    </xf>
    <xf numFmtId="9" fontId="22" fillId="0" borderId="11" xfId="0" applyNumberFormat="1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9" fontId="22" fillId="0" borderId="10" xfId="0" applyNumberFormat="1" applyFont="1" applyBorder="1" applyAlignment="1">
      <alignment horizontal="left" vertical="center"/>
    </xf>
    <xf numFmtId="10" fontId="22" fillId="0" borderId="10" xfId="0" applyNumberFormat="1" applyFont="1" applyBorder="1" applyAlignment="1">
      <alignment horizontal="left" vertical="center"/>
    </xf>
    <xf numFmtId="0" fontId="22" fillId="0" borderId="10" xfId="0" applyFont="1" applyBorder="1" applyAlignment="1">
      <alignment horizontal="left"/>
    </xf>
    <xf numFmtId="0" fontId="22" fillId="0" borderId="10" xfId="0" applyFont="1" applyBorder="1" applyAlignment="1">
      <alignment horizontal="center"/>
    </xf>
    <xf numFmtId="0" fontId="24" fillId="33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vertical="center"/>
    </xf>
  </cellXfs>
  <cellStyles count="7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Normal 3" xfId="34"/>
    <cellStyle name="Normal 4" xfId="35"/>
    <cellStyle name="เซลล์ตรวจสอบ" xfId="36"/>
    <cellStyle name="เซลล์ที่มีลิงก์" xfId="37"/>
    <cellStyle name="Percent" xfId="38"/>
    <cellStyle name="แย่" xfId="39"/>
    <cellStyle name="แสดงผล" xfId="40"/>
    <cellStyle name="การคำนวณ" xfId="41"/>
    <cellStyle name="ข้อความเตือน" xfId="42"/>
    <cellStyle name="ข้อความอธิบาย" xfId="43"/>
    <cellStyle name="Comma" xfId="44"/>
    <cellStyle name="Comma [0]" xfId="45"/>
    <cellStyle name="ชื่อเรื่อง" xfId="46"/>
    <cellStyle name="ดี" xfId="47"/>
    <cellStyle name="ปกติ 10" xfId="48"/>
    <cellStyle name="ปกติ 11" xfId="49"/>
    <cellStyle name="ปกติ 12" xfId="50"/>
    <cellStyle name="ปกติ 13" xfId="51"/>
    <cellStyle name="ปกติ 15" xfId="52"/>
    <cellStyle name="ปกติ 16" xfId="53"/>
    <cellStyle name="ปกติ 17" xfId="54"/>
    <cellStyle name="ปกติ 19" xfId="55"/>
    <cellStyle name="ปกติ 2" xfId="56"/>
    <cellStyle name="ปกติ 2 2" xfId="57"/>
    <cellStyle name="ปกติ 2 3" xfId="58"/>
    <cellStyle name="ปกติ 20" xfId="59"/>
    <cellStyle name="ปกติ 21" xfId="60"/>
    <cellStyle name="ปกติ 22" xfId="61"/>
    <cellStyle name="ปกติ 24" xfId="62"/>
    <cellStyle name="ปกติ 25" xfId="63"/>
    <cellStyle name="ปกติ 26" xfId="64"/>
    <cellStyle name="ปกติ 28" xfId="65"/>
    <cellStyle name="ปกติ 3" xfId="66"/>
    <cellStyle name="ปกติ 4" xfId="67"/>
    <cellStyle name="ปกติ 5" xfId="68"/>
    <cellStyle name="ปกติ 6" xfId="69"/>
    <cellStyle name="ปกติ 7" xfId="70"/>
    <cellStyle name="ปกติ 8" xfId="71"/>
    <cellStyle name="ปกติ 9" xfId="72"/>
    <cellStyle name="ป้อนค่า" xfId="73"/>
    <cellStyle name="ปานกลาง" xfId="74"/>
    <cellStyle name="ผลรวม" xfId="75"/>
    <cellStyle name="Currency" xfId="76"/>
    <cellStyle name="Currency [0]" xfId="77"/>
    <cellStyle name="ส่วนที่ถูกเน้น1" xfId="78"/>
    <cellStyle name="ส่วนที่ถูกเน้น2" xfId="79"/>
    <cellStyle name="ส่วนที่ถูกเน้น3" xfId="80"/>
    <cellStyle name="ส่วนที่ถูกเน้น4" xfId="81"/>
    <cellStyle name="ส่วนที่ถูกเน้น5" xfId="82"/>
    <cellStyle name="ส่วนที่ถูกเน้น6" xfId="83"/>
    <cellStyle name="หมายเหตุ" xfId="84"/>
    <cellStyle name="หัวเรื่อง 1" xfId="85"/>
    <cellStyle name="หัวเรื่อง 2" xfId="86"/>
    <cellStyle name="หัวเรื่อง 3" xfId="87"/>
    <cellStyle name="หัวเรื่อง 4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5"/>
  <sheetViews>
    <sheetView tabSelected="1" zoomScale="80" zoomScaleNormal="80" zoomScalePageLayoutView="0" workbookViewId="0" topLeftCell="A1">
      <selection activeCell="C9" sqref="C9"/>
    </sheetView>
  </sheetViews>
  <sheetFormatPr defaultColWidth="9.140625" defaultRowHeight="24.75" customHeight="1"/>
  <cols>
    <col min="1" max="1" width="70.7109375" style="1" customWidth="1"/>
    <col min="2" max="2" width="35.7109375" style="1" customWidth="1"/>
    <col min="3" max="3" width="30.57421875" style="1" customWidth="1"/>
    <col min="4" max="4" width="44.7109375" style="1" customWidth="1"/>
    <col min="5" max="16384" width="9.140625" style="1" customWidth="1"/>
  </cols>
  <sheetData>
    <row r="1" spans="1:4" ht="34.5" customHeight="1">
      <c r="A1" s="53" t="s">
        <v>40</v>
      </c>
      <c r="B1" s="53" t="s">
        <v>11</v>
      </c>
      <c r="C1" s="53" t="s">
        <v>135</v>
      </c>
      <c r="D1" s="53" t="s">
        <v>14</v>
      </c>
    </row>
    <row r="2" spans="1:4" ht="34.5" customHeight="1">
      <c r="A2" s="9" t="s">
        <v>89</v>
      </c>
      <c r="B2" s="32">
        <v>0</v>
      </c>
      <c r="C2" s="32">
        <f>61.8/127.78*B2</f>
        <v>0</v>
      </c>
      <c r="D2" s="68" t="s">
        <v>136</v>
      </c>
    </row>
    <row r="3" spans="1:4" ht="34.5" customHeight="1">
      <c r="A3" s="26"/>
      <c r="B3" s="26" t="s">
        <v>134</v>
      </c>
      <c r="C3" s="33">
        <f>C2/2</f>
        <v>0</v>
      </c>
      <c r="D3" s="69"/>
    </row>
    <row r="4" spans="1:4" ht="34.5" customHeight="1">
      <c r="A4" s="25" t="s">
        <v>41</v>
      </c>
      <c r="B4" s="25"/>
      <c r="C4" s="25">
        <f>61.8/201.24*B4</f>
        <v>0</v>
      </c>
      <c r="D4" s="70" t="s">
        <v>136</v>
      </c>
    </row>
    <row r="5" spans="1:4" ht="34.5" customHeight="1">
      <c r="A5" s="10" t="s">
        <v>62</v>
      </c>
      <c r="B5" s="9"/>
      <c r="C5" s="9">
        <f>61.8/454.67*B5</f>
        <v>0</v>
      </c>
      <c r="D5" s="68" t="s">
        <v>136</v>
      </c>
    </row>
    <row r="6" spans="1:4" ht="34.5" customHeight="1">
      <c r="A6" s="9" t="s">
        <v>42</v>
      </c>
      <c r="B6" s="9"/>
      <c r="C6" s="9">
        <f>61.8/104.9*B6</f>
        <v>0</v>
      </c>
      <c r="D6" s="68" t="s">
        <v>136</v>
      </c>
    </row>
    <row r="7" spans="1:4" ht="34.5" customHeight="1">
      <c r="A7" s="9" t="s">
        <v>43</v>
      </c>
      <c r="B7" s="9"/>
      <c r="C7" s="9">
        <f>61.8/136.94*B7</f>
        <v>0</v>
      </c>
      <c r="D7" s="68" t="s">
        <v>136</v>
      </c>
    </row>
    <row r="8" spans="1:4" ht="34.5" customHeight="1">
      <c r="A8" s="9" t="s">
        <v>28</v>
      </c>
      <c r="B8" s="9"/>
      <c r="C8" s="9">
        <f>61.8/338.52*B8</f>
        <v>0</v>
      </c>
      <c r="D8" s="68" t="s">
        <v>136</v>
      </c>
    </row>
    <row r="9" spans="1:4" ht="34.5" customHeight="1">
      <c r="A9" s="9" t="s">
        <v>44</v>
      </c>
      <c r="B9" s="9"/>
      <c r="C9" s="77">
        <f>61.8/251.45*B9</f>
        <v>0</v>
      </c>
      <c r="D9" s="68" t="s">
        <v>136</v>
      </c>
    </row>
    <row r="10" spans="1:4" ht="34.5" customHeight="1">
      <c r="A10" s="9" t="s">
        <v>45</v>
      </c>
      <c r="B10" s="9"/>
      <c r="C10" s="11">
        <f>92/130*B10</f>
        <v>0</v>
      </c>
      <c r="D10" s="71" t="s">
        <v>169</v>
      </c>
    </row>
    <row r="11" spans="1:4" ht="34.5" customHeight="1">
      <c r="A11" s="9" t="s">
        <v>46</v>
      </c>
      <c r="B11" s="9"/>
      <c r="C11" s="11">
        <f>92/109*B11</f>
        <v>0</v>
      </c>
      <c r="D11" s="71" t="s">
        <v>169</v>
      </c>
    </row>
    <row r="12" spans="1:4" ht="34.5" customHeight="1">
      <c r="A12" s="9" t="s">
        <v>48</v>
      </c>
      <c r="B12" s="9"/>
      <c r="C12" s="11">
        <f>92/222*B12</f>
        <v>0</v>
      </c>
      <c r="D12" s="71" t="s">
        <v>169</v>
      </c>
    </row>
    <row r="13" spans="1:4" ht="34.5" customHeight="1">
      <c r="A13" s="9" t="s">
        <v>49</v>
      </c>
      <c r="B13" s="9"/>
      <c r="C13" s="11">
        <f>92/114*B13</f>
        <v>0</v>
      </c>
      <c r="D13" s="71" t="s">
        <v>169</v>
      </c>
    </row>
    <row r="14" spans="1:4" ht="34.5" customHeight="1">
      <c r="A14" s="9" t="s">
        <v>50</v>
      </c>
      <c r="B14" s="9"/>
      <c r="C14" s="11">
        <f>92/153*B14</f>
        <v>0</v>
      </c>
      <c r="D14" s="71" t="s">
        <v>169</v>
      </c>
    </row>
    <row r="15" spans="1:4" ht="34.5" customHeight="1">
      <c r="A15" s="9" t="s">
        <v>47</v>
      </c>
      <c r="B15" s="9"/>
      <c r="C15" s="11">
        <f>92/148*B15</f>
        <v>0</v>
      </c>
      <c r="D15" s="71" t="s">
        <v>170</v>
      </c>
    </row>
    <row r="16" spans="1:4" ht="34.5" customHeight="1">
      <c r="A16" s="9" t="s">
        <v>51</v>
      </c>
      <c r="B16" s="9"/>
      <c r="C16" s="11">
        <f>92/120*B16</f>
        <v>0</v>
      </c>
      <c r="D16" s="71" t="s">
        <v>170</v>
      </c>
    </row>
    <row r="17" spans="1:4" ht="34.5" customHeight="1">
      <c r="A17" s="9" t="s">
        <v>52</v>
      </c>
      <c r="B17" s="9"/>
      <c r="C17" s="11">
        <f>92/166*B17</f>
        <v>0</v>
      </c>
      <c r="D17" s="71" t="s">
        <v>170</v>
      </c>
    </row>
    <row r="18" spans="1:4" ht="34.5" customHeight="1">
      <c r="A18" s="9" t="s">
        <v>53</v>
      </c>
      <c r="B18" s="9"/>
      <c r="C18" s="11">
        <f>92/106*B18</f>
        <v>0</v>
      </c>
      <c r="D18" s="71" t="s">
        <v>170</v>
      </c>
    </row>
    <row r="19" spans="1:4" ht="34.5" customHeight="1">
      <c r="A19" s="60" t="s">
        <v>120</v>
      </c>
      <c r="B19" s="11"/>
      <c r="C19" s="11">
        <f>SUM(C10:C18)</f>
        <v>0</v>
      </c>
      <c r="D19" s="71"/>
    </row>
    <row r="20" spans="1:4" s="4" customFormat="1" ht="34.5" customHeight="1">
      <c r="A20" s="9" t="s">
        <v>54</v>
      </c>
      <c r="B20" s="12"/>
      <c r="C20" s="9">
        <f>17/35*B20</f>
        <v>0</v>
      </c>
      <c r="D20" s="72">
        <v>0.06</v>
      </c>
    </row>
    <row r="21" spans="1:4" ht="34.5" customHeight="1">
      <c r="A21" s="13" t="s">
        <v>55</v>
      </c>
      <c r="B21" s="13"/>
      <c r="C21" s="13">
        <f>108/206*B21</f>
        <v>0</v>
      </c>
      <c r="D21" s="71" t="s">
        <v>171</v>
      </c>
    </row>
    <row r="22" spans="1:4" ht="34.5" customHeight="1">
      <c r="A22" s="13"/>
      <c r="B22" s="13" t="s">
        <v>134</v>
      </c>
      <c r="C22" s="13">
        <f>C21/2</f>
        <v>0</v>
      </c>
      <c r="D22" s="71"/>
    </row>
    <row r="23" spans="1:4" ht="34.5" customHeight="1">
      <c r="A23" s="14" t="s">
        <v>56</v>
      </c>
      <c r="B23" s="14"/>
      <c r="C23" s="14">
        <f>108/181*B23</f>
        <v>0</v>
      </c>
      <c r="D23" s="71" t="s">
        <v>171</v>
      </c>
    </row>
    <row r="24" spans="1:4" ht="34.5" customHeight="1">
      <c r="A24" s="14"/>
      <c r="B24" s="14" t="s">
        <v>134</v>
      </c>
      <c r="C24" s="14">
        <f>C23/2</f>
        <v>0</v>
      </c>
      <c r="D24" s="71"/>
    </row>
    <row r="25" spans="1:4" ht="34.5" customHeight="1">
      <c r="A25" s="9" t="s">
        <v>57</v>
      </c>
      <c r="B25" s="9"/>
      <c r="C25" s="9">
        <f>184/184*B25</f>
        <v>0</v>
      </c>
      <c r="D25" s="71" t="s">
        <v>172</v>
      </c>
    </row>
    <row r="26" spans="1:4" ht="34.5" customHeight="1">
      <c r="A26" s="9" t="s">
        <v>58</v>
      </c>
      <c r="B26" s="9"/>
      <c r="C26" s="9">
        <f>184/466*B26</f>
        <v>0</v>
      </c>
      <c r="D26" s="71" t="s">
        <v>172</v>
      </c>
    </row>
    <row r="27" spans="1:4" ht="34.5" customHeight="1">
      <c r="A27" s="9" t="s">
        <v>59</v>
      </c>
      <c r="B27" s="9"/>
      <c r="C27" s="9">
        <f>184/220*B27</f>
        <v>0</v>
      </c>
      <c r="D27" s="71" t="s">
        <v>172</v>
      </c>
    </row>
    <row r="28" spans="1:4" ht="34.5" customHeight="1">
      <c r="A28" s="15" t="s">
        <v>60</v>
      </c>
      <c r="B28" s="15"/>
      <c r="C28" s="15"/>
      <c r="D28" s="71" t="s">
        <v>173</v>
      </c>
    </row>
    <row r="29" spans="1:4" ht="34.5" customHeight="1">
      <c r="A29" s="15"/>
      <c r="B29" s="15" t="s">
        <v>134</v>
      </c>
      <c r="C29" s="15">
        <f>B28/2</f>
        <v>0</v>
      </c>
      <c r="D29" s="71"/>
    </row>
    <row r="30" spans="1:4" ht="34.5" customHeight="1">
      <c r="A30" s="9" t="s">
        <v>150</v>
      </c>
      <c r="B30" s="9"/>
      <c r="C30" s="9">
        <f>210/210*B30</f>
        <v>0</v>
      </c>
      <c r="D30" s="68" t="s">
        <v>174</v>
      </c>
    </row>
    <row r="31" spans="1:4" ht="34.5" customHeight="1">
      <c r="A31" s="16" t="s">
        <v>166</v>
      </c>
      <c r="B31" s="16"/>
      <c r="C31" s="16">
        <f>122/220*B31</f>
        <v>0</v>
      </c>
      <c r="D31" s="68" t="s">
        <v>175</v>
      </c>
    </row>
    <row r="32" spans="1:4" ht="34.5" customHeight="1">
      <c r="A32" s="16"/>
      <c r="B32" s="16" t="s">
        <v>134</v>
      </c>
      <c r="C32" s="16">
        <f>C31/2</f>
        <v>0</v>
      </c>
      <c r="D32" s="68"/>
    </row>
    <row r="33" spans="1:4" ht="34.5" customHeight="1">
      <c r="A33" s="9" t="s">
        <v>148</v>
      </c>
      <c r="B33" s="9"/>
      <c r="C33" s="29">
        <f>34/72*B33</f>
        <v>0</v>
      </c>
      <c r="D33" s="71" t="s">
        <v>137</v>
      </c>
    </row>
    <row r="34" spans="1:4" ht="34.5" customHeight="1">
      <c r="A34" s="9" t="s">
        <v>149</v>
      </c>
      <c r="B34" s="9"/>
      <c r="C34" s="29">
        <f>34/94*B34</f>
        <v>0</v>
      </c>
      <c r="D34" s="71" t="s">
        <v>137</v>
      </c>
    </row>
    <row r="35" spans="1:4" ht="34.5" customHeight="1">
      <c r="A35" s="9" t="s">
        <v>93</v>
      </c>
      <c r="B35" s="9"/>
      <c r="C35" s="29">
        <f>34/119.62*B35</f>
        <v>0</v>
      </c>
      <c r="D35" s="71" t="s">
        <v>137</v>
      </c>
    </row>
    <row r="36" spans="1:4" ht="34.5" customHeight="1">
      <c r="A36" s="9" t="s">
        <v>90</v>
      </c>
      <c r="B36" s="9"/>
      <c r="C36" s="29">
        <f>34/127.78*B36</f>
        <v>0</v>
      </c>
      <c r="D36" s="71" t="s">
        <v>137</v>
      </c>
    </row>
    <row r="37" spans="1:4" ht="34.5" customHeight="1">
      <c r="A37" s="9" t="s">
        <v>114</v>
      </c>
      <c r="B37" s="9"/>
      <c r="C37" s="29">
        <f>3*34/314*B37</f>
        <v>0</v>
      </c>
      <c r="D37" s="71" t="s">
        <v>137</v>
      </c>
    </row>
    <row r="38" spans="1:4" ht="34.5" customHeight="1">
      <c r="A38" s="9" t="s">
        <v>151</v>
      </c>
      <c r="B38" s="9"/>
      <c r="C38" s="29">
        <f>34/314*B38</f>
        <v>0</v>
      </c>
      <c r="D38" s="71" t="s">
        <v>137</v>
      </c>
    </row>
    <row r="39" spans="1:4" ht="34.5" customHeight="1">
      <c r="A39" s="9" t="s">
        <v>61</v>
      </c>
      <c r="B39" s="9"/>
      <c r="C39" s="29">
        <f>34/97*B39</f>
        <v>0</v>
      </c>
      <c r="D39" s="71" t="s">
        <v>137</v>
      </c>
    </row>
    <row r="40" spans="1:4" ht="34.5" customHeight="1">
      <c r="A40" s="61" t="s">
        <v>120</v>
      </c>
      <c r="B40" s="29"/>
      <c r="C40" s="29">
        <f>SUM(C33:C39)</f>
        <v>0</v>
      </c>
      <c r="D40" s="71"/>
    </row>
    <row r="41" spans="1:4" ht="34.5" customHeight="1">
      <c r="A41" s="9" t="s">
        <v>152</v>
      </c>
      <c r="B41" s="9"/>
      <c r="C41" s="29">
        <f>32/110*B41</f>
        <v>0</v>
      </c>
      <c r="D41" s="68" t="s">
        <v>176</v>
      </c>
    </row>
    <row r="42" spans="1:4" ht="34.5" customHeight="1">
      <c r="A42" s="9" t="s">
        <v>153</v>
      </c>
      <c r="B42" s="9"/>
      <c r="C42" s="29">
        <f>32/78*B42</f>
        <v>0</v>
      </c>
      <c r="D42" s="68" t="s">
        <v>176</v>
      </c>
    </row>
    <row r="43" spans="1:4" ht="34.5" customHeight="1">
      <c r="A43" s="9" t="s">
        <v>154</v>
      </c>
      <c r="B43" s="9"/>
      <c r="C43" s="29">
        <f>32/46*B43</f>
        <v>0</v>
      </c>
      <c r="D43" s="68" t="s">
        <v>177</v>
      </c>
    </row>
    <row r="44" spans="1:4" ht="34.5" customHeight="1">
      <c r="A44" s="9" t="s">
        <v>155</v>
      </c>
      <c r="B44" s="9"/>
      <c r="C44" s="29">
        <f>32/169*B44</f>
        <v>0</v>
      </c>
      <c r="D44" s="68" t="s">
        <v>177</v>
      </c>
    </row>
    <row r="45" spans="1:4" ht="34.5" customHeight="1">
      <c r="A45" s="9" t="s">
        <v>156</v>
      </c>
      <c r="B45" s="9"/>
      <c r="C45" s="29">
        <f>32/72*B45</f>
        <v>0</v>
      </c>
      <c r="D45" s="68" t="s">
        <v>176</v>
      </c>
    </row>
    <row r="46" spans="1:4" ht="34.5" customHeight="1">
      <c r="A46" s="9" t="s">
        <v>157</v>
      </c>
      <c r="B46" s="9"/>
      <c r="C46" s="29">
        <f>32/56*B46</f>
        <v>0</v>
      </c>
      <c r="D46" s="68" t="s">
        <v>177</v>
      </c>
    </row>
    <row r="47" spans="1:4" ht="34.5" customHeight="1">
      <c r="A47" s="9" t="s">
        <v>158</v>
      </c>
      <c r="B47" s="9"/>
      <c r="C47" s="29">
        <f>32/119.7*B47</f>
        <v>0</v>
      </c>
      <c r="D47" s="68" t="s">
        <v>177</v>
      </c>
    </row>
    <row r="48" spans="1:4" ht="34.5" customHeight="1">
      <c r="A48" s="62" t="s">
        <v>120</v>
      </c>
      <c r="B48" s="31"/>
      <c r="C48" s="31">
        <f>SUM(C41:C47)</f>
        <v>0</v>
      </c>
      <c r="D48" s="68"/>
    </row>
    <row r="49" spans="1:4" ht="34.5" customHeight="1">
      <c r="A49" s="9" t="s">
        <v>63</v>
      </c>
      <c r="B49" s="9"/>
      <c r="C49" s="30">
        <f>65/454.67*B49</f>
        <v>0</v>
      </c>
      <c r="D49" s="72" t="s">
        <v>178</v>
      </c>
    </row>
    <row r="50" spans="1:4" ht="34.5" customHeight="1">
      <c r="A50" s="9" t="s">
        <v>64</v>
      </c>
      <c r="B50" s="9"/>
      <c r="C50" s="30">
        <f>65/321.6*B50</f>
        <v>0</v>
      </c>
      <c r="D50" s="72" t="s">
        <v>178</v>
      </c>
    </row>
    <row r="51" spans="1:4" ht="34.5" customHeight="1">
      <c r="A51" s="9" t="s">
        <v>65</v>
      </c>
      <c r="B51" s="9"/>
      <c r="C51" s="30">
        <f>65/456*B51</f>
        <v>0</v>
      </c>
      <c r="D51" s="72" t="s">
        <v>178</v>
      </c>
    </row>
    <row r="52" spans="1:4" ht="34.5" customHeight="1">
      <c r="A52" s="9" t="s">
        <v>95</v>
      </c>
      <c r="B52" s="9"/>
      <c r="C52" s="30">
        <f>65.54/136.44*B52</f>
        <v>0</v>
      </c>
      <c r="D52" s="72" t="s">
        <v>178</v>
      </c>
    </row>
    <row r="53" spans="1:4" ht="34.5" customHeight="1">
      <c r="A53" s="9" t="s">
        <v>66</v>
      </c>
      <c r="B53" s="9"/>
      <c r="C53" s="30">
        <f>65/219.5*B53</f>
        <v>0</v>
      </c>
      <c r="D53" s="72" t="s">
        <v>178</v>
      </c>
    </row>
    <row r="54" spans="1:4" ht="34.5" customHeight="1">
      <c r="A54" s="9" t="s">
        <v>107</v>
      </c>
      <c r="B54" s="9"/>
      <c r="C54" s="30">
        <f>65/161*B54</f>
        <v>0</v>
      </c>
      <c r="D54" s="72" t="s">
        <v>178</v>
      </c>
    </row>
    <row r="55" spans="1:4" ht="34.5" customHeight="1">
      <c r="A55" s="9" t="s">
        <v>106</v>
      </c>
      <c r="B55" s="9"/>
      <c r="C55" s="30">
        <f>65/213.53*B55</f>
        <v>0</v>
      </c>
      <c r="D55" s="72" t="s">
        <v>178</v>
      </c>
    </row>
    <row r="56" spans="1:4" ht="34.5" customHeight="1">
      <c r="A56" s="9" t="s">
        <v>105</v>
      </c>
      <c r="B56" s="9"/>
      <c r="C56" s="30">
        <f>65/329.6*B56</f>
        <v>0</v>
      </c>
      <c r="D56" s="72" t="s">
        <v>178</v>
      </c>
    </row>
    <row r="57" spans="1:4" ht="34.5" customHeight="1">
      <c r="A57" s="9" t="s">
        <v>111</v>
      </c>
      <c r="B57" s="9"/>
      <c r="C57" s="30">
        <f>65/243.55*B57</f>
        <v>0</v>
      </c>
      <c r="D57" s="72" t="s">
        <v>178</v>
      </c>
    </row>
    <row r="58" spans="1:4" ht="34.5" customHeight="1">
      <c r="A58" s="9" t="s">
        <v>104</v>
      </c>
      <c r="B58" s="20"/>
      <c r="C58" s="30">
        <f>195/574*B58</f>
        <v>0</v>
      </c>
      <c r="D58" s="72" t="s">
        <v>178</v>
      </c>
    </row>
    <row r="59" spans="1:4" ht="34.5" customHeight="1">
      <c r="A59" s="63" t="s">
        <v>120</v>
      </c>
      <c r="B59" s="21"/>
      <c r="C59" s="21">
        <f>SUM(C49:C58)</f>
        <v>0</v>
      </c>
      <c r="D59" s="72"/>
    </row>
    <row r="60" spans="1:4" ht="34.5" customHeight="1">
      <c r="A60" s="9" t="s">
        <v>67</v>
      </c>
      <c r="B60" s="9"/>
      <c r="C60" s="28">
        <f>19/134*B60</f>
        <v>0</v>
      </c>
      <c r="D60" s="71" t="s">
        <v>68</v>
      </c>
    </row>
    <row r="61" spans="1:4" ht="34.5" customHeight="1">
      <c r="A61" s="9" t="s">
        <v>69</v>
      </c>
      <c r="B61" s="9"/>
      <c r="C61" s="28">
        <f>19/144*B61</f>
        <v>0</v>
      </c>
      <c r="D61" s="71" t="s">
        <v>68</v>
      </c>
    </row>
    <row r="62" spans="1:4" ht="34.5" customHeight="1">
      <c r="A62" s="9" t="s">
        <v>70</v>
      </c>
      <c r="B62" s="9"/>
      <c r="C62" s="28">
        <f>19/176*B62</f>
        <v>0</v>
      </c>
      <c r="D62" s="71" t="s">
        <v>68</v>
      </c>
    </row>
    <row r="63" spans="1:4" ht="34.5" customHeight="1">
      <c r="A63" s="9" t="s">
        <v>71</v>
      </c>
      <c r="B63" s="9"/>
      <c r="C63" s="28">
        <f>19/138*B63</f>
        <v>0</v>
      </c>
      <c r="D63" s="71" t="s">
        <v>68</v>
      </c>
    </row>
    <row r="64" spans="1:4" ht="34.5" customHeight="1">
      <c r="A64" s="9" t="s">
        <v>72</v>
      </c>
      <c r="B64" s="9"/>
      <c r="C64" s="28">
        <f>38/78*B64</f>
        <v>0</v>
      </c>
      <c r="D64" s="71" t="s">
        <v>68</v>
      </c>
    </row>
    <row r="65" spans="1:4" ht="34.5" customHeight="1">
      <c r="A65" s="9" t="s">
        <v>73</v>
      </c>
      <c r="B65" s="9"/>
      <c r="C65" s="28">
        <f>19/42*B65</f>
        <v>0</v>
      </c>
      <c r="D65" s="71" t="s">
        <v>68</v>
      </c>
    </row>
    <row r="66" spans="1:4" ht="34.5" customHeight="1">
      <c r="A66" s="9" t="s">
        <v>74</v>
      </c>
      <c r="B66" s="9"/>
      <c r="C66" s="28">
        <f>19/58*B66</f>
        <v>0</v>
      </c>
      <c r="D66" s="71" t="s">
        <v>68</v>
      </c>
    </row>
    <row r="67" spans="1:4" ht="34.5" customHeight="1">
      <c r="A67" s="9" t="s">
        <v>75</v>
      </c>
      <c r="B67" s="9"/>
      <c r="C67" s="28">
        <f>19/37*B67</f>
        <v>0</v>
      </c>
      <c r="D67" s="71" t="s">
        <v>68</v>
      </c>
    </row>
    <row r="68" spans="1:4" ht="34.5" customHeight="1">
      <c r="A68" s="9" t="s">
        <v>76</v>
      </c>
      <c r="B68" s="9"/>
      <c r="C68" s="28">
        <f>57/84*B68</f>
        <v>0</v>
      </c>
      <c r="D68" s="71" t="s">
        <v>68</v>
      </c>
    </row>
    <row r="69" spans="1:4" ht="34.5" customHeight="1">
      <c r="A69" s="9" t="s">
        <v>77</v>
      </c>
      <c r="B69" s="9"/>
      <c r="C69" s="28">
        <f>38/156.7*B69</f>
        <v>0</v>
      </c>
      <c r="D69" s="71" t="s">
        <v>68</v>
      </c>
    </row>
    <row r="70" spans="1:4" ht="34.5" customHeight="1">
      <c r="A70" s="9" t="s">
        <v>78</v>
      </c>
      <c r="B70" s="9"/>
      <c r="C70" s="28">
        <f>19/188*B70</f>
        <v>0</v>
      </c>
      <c r="D70" s="71" t="s">
        <v>68</v>
      </c>
    </row>
    <row r="71" spans="1:4" ht="34.5" customHeight="1">
      <c r="A71" s="9" t="s">
        <v>79</v>
      </c>
      <c r="B71" s="9"/>
      <c r="C71" s="28">
        <f>19/220*B71</f>
        <v>0</v>
      </c>
      <c r="D71" s="71" t="s">
        <v>68</v>
      </c>
    </row>
    <row r="72" spans="1:4" ht="34.5" customHeight="1">
      <c r="A72" s="9" t="s">
        <v>80</v>
      </c>
      <c r="B72" s="9"/>
      <c r="C72" s="28">
        <f>19/188*B72</f>
        <v>0</v>
      </c>
      <c r="D72" s="71" t="s">
        <v>68</v>
      </c>
    </row>
    <row r="73" spans="1:4" ht="34.5" customHeight="1">
      <c r="A73" s="9" t="s">
        <v>84</v>
      </c>
      <c r="B73" s="9"/>
      <c r="C73" s="28">
        <f>38/62.3*B73</f>
        <v>0</v>
      </c>
      <c r="D73" s="71" t="s">
        <v>68</v>
      </c>
    </row>
    <row r="74" spans="1:4" ht="34.5" customHeight="1">
      <c r="A74" s="64" t="s">
        <v>120</v>
      </c>
      <c r="B74" s="22"/>
      <c r="C74" s="22">
        <f>SUM(C60:C73)</f>
        <v>0</v>
      </c>
      <c r="D74" s="71"/>
    </row>
    <row r="75" spans="1:4" ht="34.5" customHeight="1">
      <c r="A75" s="9" t="s">
        <v>82</v>
      </c>
      <c r="B75" s="9"/>
      <c r="C75" s="9">
        <f>206/294*B75</f>
        <v>0</v>
      </c>
      <c r="D75" s="71" t="s">
        <v>179</v>
      </c>
    </row>
    <row r="76" spans="1:4" ht="34.5" customHeight="1">
      <c r="A76" s="9" t="s">
        <v>81</v>
      </c>
      <c r="B76" s="9"/>
      <c r="C76" s="9">
        <f>206/250*B76</f>
        <v>0</v>
      </c>
      <c r="D76" s="71" t="s">
        <v>179</v>
      </c>
    </row>
    <row r="77" spans="1:4" ht="34.5" customHeight="1">
      <c r="A77" s="9" t="s">
        <v>83</v>
      </c>
      <c r="B77" s="9"/>
      <c r="C77" s="9">
        <f>206/358*B77</f>
        <v>0</v>
      </c>
      <c r="D77" s="71" t="s">
        <v>179</v>
      </c>
    </row>
    <row r="78" spans="1:4" ht="34.5" customHeight="1">
      <c r="A78" s="18" t="s">
        <v>120</v>
      </c>
      <c r="B78" s="19"/>
      <c r="C78" s="19">
        <f>SUM(C75:C77)</f>
        <v>0</v>
      </c>
      <c r="D78" s="71"/>
    </row>
    <row r="79" spans="1:4" ht="34.5" customHeight="1">
      <c r="A79" s="9" t="s">
        <v>119</v>
      </c>
      <c r="B79" s="9"/>
      <c r="C79" s="9">
        <f>87.6/158.53*B79</f>
        <v>0</v>
      </c>
      <c r="D79" s="71" t="s">
        <v>180</v>
      </c>
    </row>
    <row r="80" spans="1:4" ht="34.5" customHeight="1">
      <c r="A80" s="9" t="s">
        <v>85</v>
      </c>
      <c r="B80" s="9"/>
      <c r="C80" s="9">
        <f>87.6/266.53*B80</f>
        <v>0</v>
      </c>
      <c r="D80" s="71" t="s">
        <v>180</v>
      </c>
    </row>
    <row r="81" spans="1:4" ht="34.5" customHeight="1">
      <c r="A81" s="9" t="s">
        <v>167</v>
      </c>
      <c r="B81" s="9"/>
      <c r="C81" s="9">
        <f>87.6/205.708*B81</f>
        <v>0</v>
      </c>
      <c r="D81" s="71" t="s">
        <v>181</v>
      </c>
    </row>
    <row r="82" spans="1:4" ht="34.5" customHeight="1">
      <c r="A82" s="9" t="s">
        <v>91</v>
      </c>
      <c r="B82" s="9"/>
      <c r="C82" s="9">
        <f>87.62/121.64*B82</f>
        <v>0</v>
      </c>
      <c r="D82" s="71" t="s">
        <v>182</v>
      </c>
    </row>
    <row r="83" spans="1:4" ht="34.5" customHeight="1">
      <c r="A83" s="9" t="s">
        <v>92</v>
      </c>
      <c r="B83" s="9"/>
      <c r="C83" s="9">
        <f>87.62/119.62*B83</f>
        <v>0</v>
      </c>
      <c r="D83" s="71" t="s">
        <v>183</v>
      </c>
    </row>
    <row r="84" spans="1:4" ht="34.5" customHeight="1">
      <c r="A84" s="9" t="s">
        <v>37</v>
      </c>
      <c r="B84" s="9"/>
      <c r="C84" s="9">
        <f>354/384.44*B84</f>
        <v>0</v>
      </c>
      <c r="D84" s="71" t="s">
        <v>184</v>
      </c>
    </row>
    <row r="85" spans="1:4" ht="34.5" customHeight="1">
      <c r="A85" s="9" t="s">
        <v>38</v>
      </c>
      <c r="B85" s="9"/>
      <c r="C85" s="9">
        <f>354/423*B85</f>
        <v>0</v>
      </c>
      <c r="D85" s="71" t="s">
        <v>184</v>
      </c>
    </row>
    <row r="86" spans="1:4" ht="34.5" customHeight="1">
      <c r="A86" s="9" t="s">
        <v>13</v>
      </c>
      <c r="B86" s="9"/>
      <c r="C86" s="27">
        <f>64/96*B86</f>
        <v>0</v>
      </c>
      <c r="D86" s="71" t="s">
        <v>185</v>
      </c>
    </row>
    <row r="87" spans="1:4" ht="34.5" customHeight="1">
      <c r="A87" s="9" t="s">
        <v>12</v>
      </c>
      <c r="B87" s="9"/>
      <c r="C87" s="27">
        <f>64/99*B87</f>
        <v>0</v>
      </c>
      <c r="D87" s="71" t="s">
        <v>185</v>
      </c>
    </row>
    <row r="88" spans="1:4" s="2" customFormat="1" ht="34.5" customHeight="1">
      <c r="A88" s="9" t="s">
        <v>86</v>
      </c>
      <c r="B88" s="9"/>
      <c r="C88" s="27">
        <f>64/104*B88</f>
        <v>0</v>
      </c>
      <c r="D88" s="71" t="s">
        <v>185</v>
      </c>
    </row>
    <row r="89" spans="1:4" ht="34.5" customHeight="1">
      <c r="A89" s="9" t="s">
        <v>87</v>
      </c>
      <c r="B89" s="9"/>
      <c r="C89" s="27">
        <f>64/126*B89</f>
        <v>0</v>
      </c>
      <c r="D89" s="71" t="s">
        <v>185</v>
      </c>
    </row>
    <row r="90" spans="1:4" s="3" customFormat="1" ht="34.5" customHeight="1">
      <c r="A90" s="9" t="s">
        <v>88</v>
      </c>
      <c r="B90" s="9"/>
      <c r="C90" s="27">
        <f>64/190*B90</f>
        <v>0</v>
      </c>
      <c r="D90" s="71" t="s">
        <v>185</v>
      </c>
    </row>
    <row r="91" spans="1:4" ht="34.5" customHeight="1">
      <c r="A91" s="9" t="s">
        <v>117</v>
      </c>
      <c r="B91" s="9"/>
      <c r="C91" s="27">
        <f>64/222*B91</f>
        <v>0</v>
      </c>
      <c r="D91" s="71" t="s">
        <v>185</v>
      </c>
    </row>
    <row r="92" spans="1:4" ht="34.5" customHeight="1">
      <c r="A92" s="65" t="s">
        <v>120</v>
      </c>
      <c r="B92" s="17"/>
      <c r="C92" s="17">
        <f>SUM(C86:C91)</f>
        <v>0</v>
      </c>
      <c r="D92" s="71"/>
    </row>
    <row r="93" spans="1:4" ht="34.5" customHeight="1">
      <c r="A93" s="9" t="s">
        <v>94</v>
      </c>
      <c r="B93" s="9"/>
      <c r="C93" s="34">
        <f>192/228*B93</f>
        <v>0</v>
      </c>
      <c r="D93" s="71" t="s">
        <v>186</v>
      </c>
    </row>
    <row r="94" spans="1:4" ht="34.5" customHeight="1">
      <c r="A94" s="9" t="s">
        <v>96</v>
      </c>
      <c r="B94" s="9"/>
      <c r="C94" s="34">
        <f>192/270*B94</f>
        <v>0</v>
      </c>
      <c r="D94" s="71" t="s">
        <v>186</v>
      </c>
    </row>
    <row r="95" spans="1:4" ht="34.5" customHeight="1">
      <c r="A95" s="9" t="s">
        <v>97</v>
      </c>
      <c r="B95" s="9"/>
      <c r="C95" s="34">
        <f>192/238*B95</f>
        <v>0</v>
      </c>
      <c r="D95" s="71" t="s">
        <v>186</v>
      </c>
    </row>
    <row r="96" spans="1:4" ht="34.5" customHeight="1">
      <c r="A96" s="66" t="s">
        <v>120</v>
      </c>
      <c r="B96" s="23"/>
      <c r="C96" s="23">
        <f>SUM(C93:C95)</f>
        <v>0</v>
      </c>
      <c r="D96" s="71"/>
    </row>
    <row r="97" spans="1:4" ht="34.5" customHeight="1">
      <c r="A97" s="9" t="s">
        <v>98</v>
      </c>
      <c r="B97" s="9"/>
      <c r="C97" s="9">
        <f>207/325*B97</f>
        <v>0</v>
      </c>
      <c r="D97" s="73" t="s">
        <v>102</v>
      </c>
    </row>
    <row r="98" spans="1:4" ht="34.5" customHeight="1">
      <c r="A98" s="9" t="s">
        <v>108</v>
      </c>
      <c r="B98" s="9"/>
      <c r="C98" s="9">
        <f>207/379*B98</f>
        <v>0</v>
      </c>
      <c r="D98" s="73" t="s">
        <v>102</v>
      </c>
    </row>
    <row r="99" spans="1:4" ht="34.5" customHeight="1">
      <c r="A99" s="9" t="s">
        <v>99</v>
      </c>
      <c r="B99" s="9"/>
      <c r="C99" s="34">
        <f>106/123*B99</f>
        <v>0</v>
      </c>
      <c r="D99" s="71" t="s">
        <v>138</v>
      </c>
    </row>
    <row r="100" spans="1:4" ht="34.5" customHeight="1">
      <c r="A100" s="9" t="s">
        <v>100</v>
      </c>
      <c r="B100" s="9"/>
      <c r="C100" s="34">
        <f>106/128*B100</f>
        <v>0</v>
      </c>
      <c r="D100" s="71" t="s">
        <v>138</v>
      </c>
    </row>
    <row r="101" spans="1:4" ht="34.5" customHeight="1">
      <c r="A101" s="9" t="s">
        <v>101</v>
      </c>
      <c r="B101" s="9"/>
      <c r="C101" s="34">
        <f>106/144*B101</f>
        <v>0</v>
      </c>
      <c r="D101" s="71" t="s">
        <v>187</v>
      </c>
    </row>
    <row r="102" spans="1:4" ht="34.5" customHeight="1">
      <c r="A102" s="67" t="s">
        <v>120</v>
      </c>
      <c r="B102" s="35"/>
      <c r="C102" s="35">
        <f>SUM(C99:C101)</f>
        <v>0</v>
      </c>
      <c r="D102" s="71"/>
    </row>
    <row r="103" spans="1:4" ht="34.5" customHeight="1">
      <c r="A103" s="9" t="s">
        <v>109</v>
      </c>
      <c r="B103" s="9"/>
      <c r="C103" s="9">
        <f>145/388*B103</f>
        <v>0</v>
      </c>
      <c r="D103" s="71" t="s">
        <v>188</v>
      </c>
    </row>
    <row r="104" spans="1:4" ht="34.5" customHeight="1">
      <c r="A104" s="9" t="s">
        <v>168</v>
      </c>
      <c r="B104" s="9"/>
      <c r="C104" s="9">
        <f>87/122.5*B104</f>
        <v>0</v>
      </c>
      <c r="D104" s="71" t="s">
        <v>189</v>
      </c>
    </row>
    <row r="105" spans="1:4" ht="34.5" customHeight="1">
      <c r="A105" s="24" t="s">
        <v>159</v>
      </c>
      <c r="B105" s="9"/>
      <c r="C105" s="9">
        <f>153.18/226.11*B105</f>
        <v>0</v>
      </c>
      <c r="D105" s="71" t="s">
        <v>190</v>
      </c>
    </row>
  </sheetData>
  <sheetProtection/>
  <printOptions/>
  <pageMargins left="0.75" right="0.75" top="1" bottom="1" header="0.5" footer="0.5"/>
  <pageSetup horizontalDpi="600" verticalDpi="600" orientation="landscape" paperSize="9" r:id="rId1"/>
  <ignoredErrors>
    <ignoredError sqref="C7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65"/>
  <sheetViews>
    <sheetView zoomScale="80" zoomScaleNormal="80" zoomScalePageLayoutView="0" workbookViewId="0" topLeftCell="A1">
      <selection activeCell="D60" sqref="D60:D62"/>
    </sheetView>
  </sheetViews>
  <sheetFormatPr defaultColWidth="9.140625" defaultRowHeight="12.75"/>
  <cols>
    <col min="1" max="1" width="52.57421875" style="6" customWidth="1"/>
    <col min="2" max="2" width="41.00390625" style="6" customWidth="1"/>
    <col min="3" max="3" width="34.57421875" style="6" customWidth="1"/>
    <col min="4" max="4" width="93.57421875" style="5" customWidth="1"/>
    <col min="5" max="16384" width="9.140625" style="6" customWidth="1"/>
  </cols>
  <sheetData>
    <row r="1" spans="1:4" ht="34.5" customHeight="1">
      <c r="A1" s="54" t="s">
        <v>1</v>
      </c>
      <c r="B1" s="54" t="s">
        <v>11</v>
      </c>
      <c r="C1" s="54" t="s">
        <v>2</v>
      </c>
      <c r="D1" s="54" t="s">
        <v>14</v>
      </c>
    </row>
    <row r="2" spans="1:4" ht="34.5" customHeight="1">
      <c r="A2" s="36" t="s">
        <v>0</v>
      </c>
      <c r="B2" s="36"/>
      <c r="C2" s="36">
        <f>122/144*B2</f>
        <v>0</v>
      </c>
      <c r="D2" s="74" t="s">
        <v>146</v>
      </c>
    </row>
    <row r="3" spans="1:4" ht="34.5" customHeight="1">
      <c r="A3" s="36" t="s">
        <v>3</v>
      </c>
      <c r="B3" s="38"/>
      <c r="C3" s="36">
        <f>122/160*B3</f>
        <v>0</v>
      </c>
      <c r="D3" s="75" t="s">
        <v>147</v>
      </c>
    </row>
    <row r="4" spans="1:4" ht="34.5" customHeight="1">
      <c r="A4" s="36" t="s">
        <v>112</v>
      </c>
      <c r="B4" s="36"/>
      <c r="C4" s="36">
        <f>122/139*B4</f>
        <v>0</v>
      </c>
      <c r="D4" s="75" t="s">
        <v>147</v>
      </c>
    </row>
    <row r="5" spans="1:4" ht="34.5" customHeight="1">
      <c r="A5" s="36" t="s">
        <v>4</v>
      </c>
      <c r="B5" s="36"/>
      <c r="C5" s="36">
        <f>122/228*B5</f>
        <v>0</v>
      </c>
      <c r="D5" s="75" t="s">
        <v>147</v>
      </c>
    </row>
    <row r="6" spans="1:4" ht="34.5" customHeight="1">
      <c r="A6" s="36" t="s">
        <v>103</v>
      </c>
      <c r="B6" s="36"/>
      <c r="C6" s="36">
        <f>122/136*B6</f>
        <v>0</v>
      </c>
      <c r="D6" s="75" t="s">
        <v>147</v>
      </c>
    </row>
    <row r="7" spans="1:4" ht="34.5" customHeight="1">
      <c r="A7" s="36" t="s">
        <v>118</v>
      </c>
      <c r="B7" s="36"/>
      <c r="C7" s="36">
        <f>122/266.53*B7</f>
        <v>0</v>
      </c>
      <c r="D7" s="75" t="s">
        <v>147</v>
      </c>
    </row>
    <row r="8" spans="1:4" ht="34.5" customHeight="1">
      <c r="A8" s="39" t="s">
        <v>160</v>
      </c>
      <c r="B8" s="36"/>
      <c r="C8" s="36">
        <f>122/183*B8</f>
        <v>0</v>
      </c>
      <c r="D8" s="75" t="s">
        <v>147</v>
      </c>
    </row>
    <row r="9" spans="1:4" ht="34.5" customHeight="1">
      <c r="A9" s="36" t="s">
        <v>5</v>
      </c>
      <c r="B9" s="36"/>
      <c r="C9" s="36">
        <f>74/96*B9</f>
        <v>0</v>
      </c>
      <c r="D9" s="75" t="s">
        <v>145</v>
      </c>
    </row>
    <row r="10" spans="1:4" ht="34.5" customHeight="1">
      <c r="A10" s="36" t="s">
        <v>164</v>
      </c>
      <c r="B10" s="36"/>
      <c r="C10" s="36">
        <f>74/186.22*B10</f>
        <v>0</v>
      </c>
      <c r="D10" s="75" t="s">
        <v>145</v>
      </c>
    </row>
    <row r="11" spans="1:4" ht="34.5" customHeight="1">
      <c r="A11" s="36" t="s">
        <v>110</v>
      </c>
      <c r="B11" s="36"/>
      <c r="C11" s="36">
        <f>138/287.31*B11</f>
        <v>0</v>
      </c>
      <c r="D11" s="74" t="s">
        <v>144</v>
      </c>
    </row>
    <row r="12" spans="1:4" ht="34.5" customHeight="1">
      <c r="A12" s="36" t="s">
        <v>113</v>
      </c>
      <c r="B12" s="36"/>
      <c r="C12" s="36">
        <f>138/298.53*B12</f>
        <v>0</v>
      </c>
      <c r="D12" s="74" t="s">
        <v>144</v>
      </c>
    </row>
    <row r="13" spans="1:4" ht="34.5" customHeight="1">
      <c r="A13" s="36" t="s">
        <v>6</v>
      </c>
      <c r="B13" s="40"/>
      <c r="C13" s="36">
        <f>138/160*B13</f>
        <v>0</v>
      </c>
      <c r="D13" s="74" t="s">
        <v>144</v>
      </c>
    </row>
    <row r="14" spans="1:4" ht="34.5" customHeight="1">
      <c r="A14" s="36" t="s">
        <v>7</v>
      </c>
      <c r="B14" s="36"/>
      <c r="C14" s="36">
        <f>112/134*B14</f>
        <v>0</v>
      </c>
      <c r="D14" s="75" t="s">
        <v>143</v>
      </c>
    </row>
    <row r="15" spans="1:4" ht="34.5" customHeight="1">
      <c r="A15" s="36" t="s">
        <v>8</v>
      </c>
      <c r="B15" s="41"/>
      <c r="C15" s="36">
        <f>112/150*B15</f>
        <v>0</v>
      </c>
      <c r="D15" s="75" t="s">
        <v>143</v>
      </c>
    </row>
    <row r="16" spans="1:4" ht="34.5" customHeight="1">
      <c r="A16" s="36" t="s">
        <v>9</v>
      </c>
      <c r="B16" s="36"/>
      <c r="C16" s="36">
        <f>112/262*B16</f>
        <v>0</v>
      </c>
      <c r="D16" s="75" t="s">
        <v>143</v>
      </c>
    </row>
    <row r="17" spans="1:4" ht="34.5" customHeight="1">
      <c r="A17" s="36" t="s">
        <v>165</v>
      </c>
      <c r="B17" s="36"/>
      <c r="C17" s="55">
        <f>94/320*B17</f>
        <v>0</v>
      </c>
      <c r="D17" s="75" t="s">
        <v>191</v>
      </c>
    </row>
    <row r="18" spans="1:4" ht="34.5" customHeight="1">
      <c r="A18" s="36" t="s">
        <v>10</v>
      </c>
      <c r="B18" s="36"/>
      <c r="C18" s="55">
        <f>94/190*B18</f>
        <v>0</v>
      </c>
      <c r="D18" s="75" t="s">
        <v>192</v>
      </c>
    </row>
    <row r="19" spans="1:4" ht="34.5" customHeight="1">
      <c r="A19" s="36" t="s">
        <v>161</v>
      </c>
      <c r="B19" s="36"/>
      <c r="C19" s="55">
        <f>94/231*B19</f>
        <v>0</v>
      </c>
      <c r="D19" s="75" t="s">
        <v>191</v>
      </c>
    </row>
    <row r="20" spans="1:4" ht="34.5" customHeight="1">
      <c r="A20" s="42" t="s">
        <v>120</v>
      </c>
      <c r="B20" s="42"/>
      <c r="C20" s="42"/>
      <c r="D20" s="75"/>
    </row>
    <row r="21" spans="1:4" ht="34.5" customHeight="1">
      <c r="A21" s="36" t="s">
        <v>13</v>
      </c>
      <c r="B21" s="36"/>
      <c r="C21" s="43">
        <f>64/96*B21</f>
        <v>0</v>
      </c>
      <c r="D21" s="75" t="s">
        <v>193</v>
      </c>
    </row>
    <row r="22" spans="1:4" ht="34.5" customHeight="1">
      <c r="A22" s="36" t="s">
        <v>12</v>
      </c>
      <c r="B22" s="36"/>
      <c r="C22" s="43">
        <f>64/99*B22</f>
        <v>0</v>
      </c>
      <c r="D22" s="75" t="s">
        <v>193</v>
      </c>
    </row>
    <row r="23" spans="1:4" ht="34.5" customHeight="1">
      <c r="A23" s="36" t="s">
        <v>86</v>
      </c>
      <c r="B23" s="36"/>
      <c r="C23" s="43">
        <f>64/104*B23</f>
        <v>0</v>
      </c>
      <c r="D23" s="75" t="s">
        <v>193</v>
      </c>
    </row>
    <row r="24" spans="1:4" ht="34.5" customHeight="1">
      <c r="A24" s="36" t="s">
        <v>87</v>
      </c>
      <c r="B24" s="36"/>
      <c r="C24" s="43">
        <f>64/126*B24</f>
        <v>0</v>
      </c>
      <c r="D24" s="75" t="s">
        <v>193</v>
      </c>
    </row>
    <row r="25" spans="1:4" ht="34.5" customHeight="1">
      <c r="A25" s="36" t="s">
        <v>88</v>
      </c>
      <c r="B25" s="36"/>
      <c r="C25" s="43">
        <f>64/190*B25</f>
        <v>0</v>
      </c>
      <c r="D25" s="75" t="s">
        <v>193</v>
      </c>
    </row>
    <row r="26" spans="1:4" ht="34.5" customHeight="1">
      <c r="A26" s="36" t="s">
        <v>116</v>
      </c>
      <c r="B26" s="36"/>
      <c r="C26" s="43">
        <f>64/222*B26</f>
        <v>0</v>
      </c>
      <c r="D26" s="75" t="s">
        <v>193</v>
      </c>
    </row>
    <row r="27" spans="1:4" ht="34.5" customHeight="1">
      <c r="A27" s="43" t="s">
        <v>120</v>
      </c>
      <c r="B27" s="43"/>
      <c r="C27" s="43">
        <f>SUM(C21:C26)</f>
        <v>0</v>
      </c>
      <c r="D27" s="37"/>
    </row>
    <row r="28" spans="1:4" ht="34.5" customHeight="1">
      <c r="A28" s="44" t="s">
        <v>121</v>
      </c>
      <c r="B28" s="45" t="s">
        <v>124</v>
      </c>
      <c r="C28" s="45"/>
      <c r="D28" s="46" t="s">
        <v>124</v>
      </c>
    </row>
    <row r="29" spans="1:4" ht="34.5" customHeight="1">
      <c r="A29" s="44" t="s">
        <v>122</v>
      </c>
      <c r="B29" s="45" t="s">
        <v>124</v>
      </c>
      <c r="C29" s="45"/>
      <c r="D29" s="46" t="s">
        <v>124</v>
      </c>
    </row>
    <row r="30" spans="1:4" ht="34.5" customHeight="1">
      <c r="A30" s="44" t="s">
        <v>123</v>
      </c>
      <c r="B30" s="45" t="s">
        <v>124</v>
      </c>
      <c r="C30" s="45"/>
      <c r="D30" s="46" t="s">
        <v>124</v>
      </c>
    </row>
    <row r="31" spans="1:4" ht="34.5" customHeight="1">
      <c r="A31" s="36" t="s">
        <v>15</v>
      </c>
      <c r="B31" s="36"/>
      <c r="C31" s="36">
        <f>138/314*B31</f>
        <v>0</v>
      </c>
      <c r="D31" s="74" t="s">
        <v>22</v>
      </c>
    </row>
    <row r="32" spans="1:4" ht="34.5" customHeight="1">
      <c r="A32" s="36" t="s">
        <v>39</v>
      </c>
      <c r="B32" s="36"/>
      <c r="C32" s="36">
        <f>138/174*B32</f>
        <v>0</v>
      </c>
      <c r="D32" s="74" t="s">
        <v>22</v>
      </c>
    </row>
    <row r="33" spans="1:4" s="8" customFormat="1" ht="34.5" customHeight="1">
      <c r="A33" s="47" t="s">
        <v>130</v>
      </c>
      <c r="B33" s="47"/>
      <c r="C33" s="47">
        <f>138/216*B33</f>
        <v>0</v>
      </c>
      <c r="D33" s="76" t="s">
        <v>162</v>
      </c>
    </row>
    <row r="34" spans="1:4" s="8" customFormat="1" ht="34.5" customHeight="1">
      <c r="A34" s="47" t="s">
        <v>131</v>
      </c>
      <c r="B34" s="47"/>
      <c r="C34" s="47">
        <f>138/202*B34</f>
        <v>0</v>
      </c>
      <c r="D34" s="76" t="s">
        <v>162</v>
      </c>
    </row>
    <row r="35" spans="1:4" ht="34.5" customHeight="1">
      <c r="A35" s="36" t="s">
        <v>16</v>
      </c>
      <c r="B35" s="36"/>
      <c r="C35" s="36">
        <f>138/160*B35</f>
        <v>0</v>
      </c>
      <c r="D35" s="74" t="s">
        <v>22</v>
      </c>
    </row>
    <row r="36" spans="1:4" ht="34.5" customHeight="1">
      <c r="A36" s="36" t="s">
        <v>115</v>
      </c>
      <c r="B36" s="36"/>
      <c r="C36" s="36">
        <f>138/188.16*B36</f>
        <v>0</v>
      </c>
      <c r="D36" s="74" t="s">
        <v>22</v>
      </c>
    </row>
    <row r="37" spans="1:4" ht="34.5" customHeight="1">
      <c r="A37" s="36" t="s">
        <v>17</v>
      </c>
      <c r="B37" s="36"/>
      <c r="C37" s="36">
        <f>138/176*B37</f>
        <v>0</v>
      </c>
      <c r="D37" s="74" t="s">
        <v>22</v>
      </c>
    </row>
    <row r="38" spans="1:4" s="8" customFormat="1" ht="34.5" customHeight="1">
      <c r="A38" s="47" t="s">
        <v>133</v>
      </c>
      <c r="B38" s="47"/>
      <c r="C38" s="47">
        <f>138/232.31*B38</f>
        <v>0</v>
      </c>
      <c r="D38" s="76" t="s">
        <v>162</v>
      </c>
    </row>
    <row r="39" spans="1:4" s="8" customFormat="1" ht="34.5" customHeight="1">
      <c r="A39" s="47" t="s">
        <v>129</v>
      </c>
      <c r="B39" s="47"/>
      <c r="C39" s="47">
        <f>138/218.29*B39</f>
        <v>0</v>
      </c>
      <c r="D39" s="76" t="s">
        <v>162</v>
      </c>
    </row>
    <row r="40" spans="1:4" s="7" customFormat="1" ht="34.5" customHeight="1">
      <c r="A40" s="36" t="s">
        <v>18</v>
      </c>
      <c r="B40" s="36"/>
      <c r="C40" s="36">
        <f>138/152*B40</f>
        <v>0</v>
      </c>
      <c r="D40" s="74" t="s">
        <v>22</v>
      </c>
    </row>
    <row r="41" spans="1:4" ht="34.5" customHeight="1">
      <c r="A41" s="36" t="s">
        <v>21</v>
      </c>
      <c r="B41" s="36"/>
      <c r="C41" s="36">
        <f>138/166*B41</f>
        <v>0</v>
      </c>
      <c r="D41" s="74" t="s">
        <v>22</v>
      </c>
    </row>
    <row r="42" spans="1:4" ht="34.5" customHeight="1">
      <c r="A42" s="44" t="s">
        <v>19</v>
      </c>
      <c r="B42" s="45" t="s">
        <v>124</v>
      </c>
      <c r="C42" s="48"/>
      <c r="D42" s="46" t="s">
        <v>124</v>
      </c>
    </row>
    <row r="43" spans="1:4" s="8" customFormat="1" ht="34.5" customHeight="1">
      <c r="A43" s="47" t="s">
        <v>128</v>
      </c>
      <c r="B43" s="47"/>
      <c r="C43" s="47">
        <f>138/180*B43</f>
        <v>0</v>
      </c>
      <c r="D43" s="76" t="s">
        <v>162</v>
      </c>
    </row>
    <row r="44" spans="1:4" ht="34.5" customHeight="1">
      <c r="A44" s="44" t="s">
        <v>20</v>
      </c>
      <c r="B44" s="45" t="s">
        <v>124</v>
      </c>
      <c r="C44" s="49"/>
      <c r="D44" s="46" t="s">
        <v>124</v>
      </c>
    </row>
    <row r="45" spans="1:4" s="8" customFormat="1" ht="34.5" customHeight="1">
      <c r="A45" s="47" t="s">
        <v>126</v>
      </c>
      <c r="B45" s="47"/>
      <c r="C45" s="47">
        <f>138/194*B45</f>
        <v>0</v>
      </c>
      <c r="D45" s="76" t="s">
        <v>162</v>
      </c>
    </row>
    <row r="46" spans="1:4" ht="34.5" customHeight="1">
      <c r="A46" s="58" t="s">
        <v>127</v>
      </c>
      <c r="B46" s="56"/>
      <c r="C46" s="56">
        <f>SUM(C33,C34,C38:C39,C43,C45)</f>
        <v>0</v>
      </c>
      <c r="D46" s="57" t="s">
        <v>132</v>
      </c>
    </row>
    <row r="47" spans="1:4" ht="34.5" customHeight="1">
      <c r="A47" s="59" t="s">
        <v>125</v>
      </c>
      <c r="B47" s="50"/>
      <c r="C47" s="50">
        <f>SUM(C31:C45)</f>
        <v>0</v>
      </c>
      <c r="D47" s="57" t="s">
        <v>125</v>
      </c>
    </row>
    <row r="48" spans="1:4" ht="34.5" customHeight="1">
      <c r="A48" s="36" t="s">
        <v>23</v>
      </c>
      <c r="B48" s="36"/>
      <c r="C48" s="36">
        <f>168/190*B48</f>
        <v>0</v>
      </c>
      <c r="D48" s="74" t="s">
        <v>139</v>
      </c>
    </row>
    <row r="49" spans="1:4" ht="34.5" customHeight="1">
      <c r="A49" s="36" t="s">
        <v>24</v>
      </c>
      <c r="B49" s="36"/>
      <c r="C49" s="36">
        <f>46/68*B49</f>
        <v>0</v>
      </c>
      <c r="D49" s="75">
        <v>0.5</v>
      </c>
    </row>
    <row r="50" spans="1:4" ht="34.5" customHeight="1">
      <c r="A50" s="36" t="s">
        <v>25</v>
      </c>
      <c r="B50" s="36"/>
      <c r="C50" s="36">
        <f>46/84*B50</f>
        <v>0</v>
      </c>
      <c r="D50" s="75">
        <v>0.5</v>
      </c>
    </row>
    <row r="51" spans="1:4" ht="34.5" customHeight="1">
      <c r="A51" s="36" t="s">
        <v>26</v>
      </c>
      <c r="B51" s="36"/>
      <c r="C51" s="36">
        <f>200.6/404.6*B51</f>
        <v>0</v>
      </c>
      <c r="D51" s="51" t="s">
        <v>140</v>
      </c>
    </row>
    <row r="52" spans="1:4" ht="34.5" customHeight="1">
      <c r="A52" s="36" t="s">
        <v>27</v>
      </c>
      <c r="B52" s="36"/>
      <c r="C52" s="36">
        <f>200.6/398.6*B52</f>
        <v>0</v>
      </c>
      <c r="D52" s="51" t="s">
        <v>141</v>
      </c>
    </row>
    <row r="53" spans="1:4" ht="34.5" customHeight="1">
      <c r="A53" s="36" t="s">
        <v>28</v>
      </c>
      <c r="B53" s="36"/>
      <c r="C53" s="36">
        <f>200.6/338.6*B53</f>
        <v>0</v>
      </c>
      <c r="D53" s="51" t="s">
        <v>141</v>
      </c>
    </row>
    <row r="54" spans="1:4" ht="34.5" customHeight="1">
      <c r="A54" s="36" t="s">
        <v>29</v>
      </c>
      <c r="B54" s="36"/>
      <c r="C54" s="36">
        <f>200.6/336.6*B54</f>
        <v>0</v>
      </c>
      <c r="D54" s="51" t="s">
        <v>141</v>
      </c>
    </row>
    <row r="55" spans="1:4" ht="34.5" customHeight="1">
      <c r="A55" s="36" t="s">
        <v>30</v>
      </c>
      <c r="B55" s="36"/>
      <c r="C55" s="36">
        <f>200.6/313*B55</f>
        <v>0</v>
      </c>
      <c r="D55" s="51" t="s">
        <v>141</v>
      </c>
    </row>
    <row r="56" spans="1:4" ht="34.5" customHeight="1">
      <c r="A56" s="36" t="s">
        <v>31</v>
      </c>
      <c r="B56" s="36"/>
      <c r="C56" s="36">
        <f>200.6/357.6*B56</f>
        <v>0</v>
      </c>
      <c r="D56" s="51" t="s">
        <v>141</v>
      </c>
    </row>
    <row r="57" spans="1:4" ht="34.5" customHeight="1">
      <c r="A57" s="52" t="s">
        <v>120</v>
      </c>
      <c r="B57" s="52"/>
      <c r="C57" s="52">
        <f>SUM(C51:C56)</f>
        <v>0</v>
      </c>
      <c r="D57" s="51"/>
    </row>
    <row r="58" spans="1:4" ht="34.5" customHeight="1">
      <c r="A58" s="36" t="s">
        <v>32</v>
      </c>
      <c r="B58" s="36"/>
      <c r="C58" s="36">
        <f>184/406*B58</f>
        <v>0</v>
      </c>
      <c r="D58" s="75" t="s">
        <v>194</v>
      </c>
    </row>
    <row r="59" spans="1:4" ht="34.5" customHeight="1">
      <c r="A59" s="36" t="s">
        <v>33</v>
      </c>
      <c r="B59" s="36"/>
      <c r="C59" s="36">
        <f>184/206*B59</f>
        <v>0</v>
      </c>
      <c r="D59" s="75" t="s">
        <v>194</v>
      </c>
    </row>
    <row r="60" spans="1:4" ht="34.5" customHeight="1">
      <c r="A60" s="36" t="s">
        <v>34</v>
      </c>
      <c r="B60" s="36"/>
      <c r="C60" s="36">
        <f>504/624*B60</f>
        <v>0</v>
      </c>
      <c r="D60" s="74" t="s">
        <v>142</v>
      </c>
    </row>
    <row r="61" spans="1:4" ht="34.5" customHeight="1">
      <c r="A61" s="36" t="s">
        <v>35</v>
      </c>
      <c r="B61" s="36"/>
      <c r="C61" s="36">
        <f>504/897*B61</f>
        <v>0</v>
      </c>
      <c r="D61" s="74" t="s">
        <v>142</v>
      </c>
    </row>
    <row r="62" spans="1:4" ht="34.5" customHeight="1">
      <c r="A62" s="36" t="s">
        <v>36</v>
      </c>
      <c r="B62" s="36"/>
      <c r="C62" s="36">
        <f>504/576*B62</f>
        <v>0</v>
      </c>
      <c r="D62" s="74" t="s">
        <v>142</v>
      </c>
    </row>
    <row r="63" spans="1:4" ht="34.5" customHeight="1">
      <c r="A63" s="36" t="s">
        <v>37</v>
      </c>
      <c r="B63" s="36"/>
      <c r="C63" s="36">
        <f>354/384.44*B63</f>
        <v>0</v>
      </c>
      <c r="D63" s="75" t="s">
        <v>195</v>
      </c>
    </row>
    <row r="64" spans="1:4" ht="34.5" customHeight="1">
      <c r="A64" s="36" t="s">
        <v>38</v>
      </c>
      <c r="B64" s="36"/>
      <c r="C64" s="36">
        <f>354/423*B64</f>
        <v>0</v>
      </c>
      <c r="D64" s="75" t="s">
        <v>195</v>
      </c>
    </row>
    <row r="65" spans="1:4" s="1" customFormat="1" ht="34.5" customHeight="1">
      <c r="A65" s="9" t="s">
        <v>163</v>
      </c>
      <c r="B65" s="9"/>
      <c r="C65" s="9">
        <f>74.1/91.11*B65</f>
        <v>0</v>
      </c>
      <c r="D65" s="71" t="s">
        <v>196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fda</dc:creator>
  <cp:keywords/>
  <dc:description/>
  <cp:lastModifiedBy>กุลรัตน์ บัวชุม</cp:lastModifiedBy>
  <cp:lastPrinted>2009-04-08T18:19:46Z</cp:lastPrinted>
  <dcterms:created xsi:type="dcterms:W3CDTF">2008-12-18T21:18:17Z</dcterms:created>
  <dcterms:modified xsi:type="dcterms:W3CDTF">2023-10-18T06:59:18Z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ic_System_Copyright">
    <vt:lpwstr/>
  </property>
</Properties>
</file>